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defaultThemeVersion="166925"/>
  <mc:AlternateContent xmlns:mc="http://schemas.openxmlformats.org/markup-compatibility/2006">
    <mc:Choice Requires="x15">
      <x15ac:absPath xmlns:x15ac="http://schemas.microsoft.com/office/spreadsheetml/2010/11/ac" url="D:\Desktop Data\RIL 4th Week\"/>
    </mc:Choice>
  </mc:AlternateContent>
  <xr:revisionPtr revIDLastSave="0" documentId="13_ncr:1_{B424750A-609A-4C5A-AD2C-430378F558D0}" xr6:coauthVersionLast="47" xr6:coauthVersionMax="47" xr10:uidLastSave="{00000000-0000-0000-0000-000000000000}"/>
  <bookViews>
    <workbookView xWindow="-120" yWindow="-120" windowWidth="20730" windowHeight="11160" tabRatio="648" xr2:uid="{FC0C5651-55DF-428D-B44B-516314C33FC7}"/>
  </bookViews>
  <sheets>
    <sheet name="Cover Page" sheetId="15" r:id="rId1"/>
    <sheet name="Equipment List " sheetId="14" r:id="rId2"/>
    <sheet name="Capex" sheetId="5" r:id="rId3"/>
    <sheet name="Opex Segmental(84 KTPA)" sheetId="11" r:id="rId4"/>
    <sheet name="Opex" sheetId="6" state="hidden" r:id="rId5"/>
    <sheet name="Opex Total(84 KTPA)" sheetId="18" r:id="rId6"/>
    <sheet name="Salary and WagesCost Estimation" sheetId="21" r:id="rId7"/>
    <sheet name="Cash Flow Epoxy Resin" sheetId="10" r:id="rId8"/>
    <sheet name="Cash Flow" sheetId="7" state="hidden" r:id="rId9"/>
    <sheet name="Working sheet" sheetId="9" r:id="rId10"/>
    <sheet name="Liquid Epoxy Resin" sheetId="24" r:id="rId11"/>
    <sheet name="Solid Epoxy Resin" sheetId="23" r:id="rId12"/>
    <sheet name="Semi Solid Epoxy Resin" sheetId="25" r:id="rId13"/>
    <sheet name="Raw Material Prices" sheetId="28" r:id="rId14"/>
  </sheets>
  <definedNames>
    <definedName name="_xlnm._FilterDatabase" localSheetId="11" hidden="1">'Solid Epoxy Resin'!#REF!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39" i="28" l="1"/>
  <c r="D38" i="28"/>
  <c r="D37" i="28"/>
  <c r="F35" i="28"/>
  <c r="F34" i="28"/>
  <c r="F33" i="28"/>
  <c r="F32" i="28" s="1"/>
  <c r="F31" i="28" s="1"/>
  <c r="F30" i="28" s="1"/>
  <c r="F23" i="25"/>
  <c r="F10" i="25"/>
  <c r="F9" i="25"/>
  <c r="F8" i="25"/>
  <c r="F11" i="25" s="1"/>
  <c r="F17" i="25" s="1"/>
  <c r="F24" i="25" s="1"/>
  <c r="I19" i="24"/>
  <c r="I25" i="24"/>
  <c r="I26" i="24"/>
  <c r="E22" i="23"/>
  <c r="E9" i="23"/>
  <c r="C8" i="23"/>
  <c r="E8" i="23" s="1"/>
  <c r="D7" i="23"/>
  <c r="E7" i="23" s="1"/>
  <c r="E10" i="23" l="1"/>
  <c r="E16" i="23" s="1"/>
  <c r="E23" i="23" s="1"/>
  <c r="F54" i="11" l="1"/>
  <c r="F52" i="11"/>
  <c r="F51" i="11"/>
  <c r="F50" i="11"/>
  <c r="F49" i="11"/>
  <c r="G29" i="11"/>
  <c r="F39" i="11"/>
  <c r="F38" i="11"/>
  <c r="F37" i="11"/>
  <c r="F31" i="11"/>
  <c r="F30" i="11"/>
  <c r="F29" i="11"/>
  <c r="D26" i="11"/>
  <c r="F19" i="11" l="1"/>
  <c r="F18" i="11"/>
  <c r="F17" i="11"/>
  <c r="G16" i="11"/>
  <c r="F16" i="11"/>
  <c r="F15" i="11"/>
  <c r="F14" i="11"/>
  <c r="F13" i="11"/>
  <c r="D71" i="11"/>
  <c r="D12" i="11"/>
  <c r="D72" i="11"/>
  <c r="D51" i="11"/>
  <c r="D31" i="11"/>
  <c r="D11" i="11"/>
  <c r="D67" i="11"/>
  <c r="D46" i="11"/>
  <c r="D47" i="11"/>
  <c r="D66" i="11"/>
  <c r="D78" i="11" s="1"/>
  <c r="D52" i="11"/>
  <c r="D32" i="11"/>
  <c r="D49" i="11"/>
  <c r="D69" i="11"/>
  <c r="D29" i="11"/>
  <c r="D28" i="11" s="1"/>
  <c r="D27" i="11"/>
  <c r="D9" i="11"/>
  <c r="D11" i="21"/>
  <c r="D10" i="21"/>
  <c r="B3" i="21"/>
  <c r="D5" i="21"/>
  <c r="D6" i="21"/>
  <c r="D7" i="21"/>
  <c r="D8" i="21"/>
  <c r="D9" i="21"/>
  <c r="D4" i="21"/>
  <c r="D7" i="11"/>
  <c r="C4" i="5"/>
  <c r="M66" i="14"/>
  <c r="E66" i="14"/>
  <c r="E15" i="10"/>
  <c r="F15" i="10" s="1"/>
  <c r="G15" i="10" s="1"/>
  <c r="H15" i="10" s="1"/>
  <c r="I15" i="10" s="1"/>
  <c r="J15" i="10" s="1"/>
  <c r="K15" i="10" s="1"/>
  <c r="L15" i="10" s="1"/>
  <c r="M15" i="10" s="1"/>
  <c r="E11" i="10"/>
  <c r="F11" i="10" s="1"/>
  <c r="G11" i="10" s="1"/>
  <c r="H11" i="10" s="1"/>
  <c r="I11" i="10" s="1"/>
  <c r="J11" i="10" s="1"/>
  <c r="K11" i="10" s="1"/>
  <c r="L11" i="10" s="1"/>
  <c r="M11" i="10" s="1"/>
  <c r="D13" i="10"/>
  <c r="E13" i="10" s="1"/>
  <c r="F13" i="10" s="1"/>
  <c r="G13" i="10" s="1"/>
  <c r="H13" i="10" s="1"/>
  <c r="I13" i="10" s="1"/>
  <c r="J13" i="10" s="1"/>
  <c r="K13" i="10" s="1"/>
  <c r="L13" i="10" s="1"/>
  <c r="M13" i="10" s="1"/>
  <c r="D11" i="18" l="1"/>
  <c r="D10" i="11"/>
  <c r="D10" i="18"/>
  <c r="D70" i="11"/>
  <c r="D50" i="11"/>
  <c r="D30" i="11"/>
  <c r="D79" i="11"/>
  <c r="D77" i="11" s="1"/>
  <c r="H4" i="14"/>
  <c r="M11" i="14" s="1"/>
  <c r="P29" i="14"/>
  <c r="M16" i="10"/>
  <c r="L16" i="10"/>
  <c r="K16" i="10"/>
  <c r="J16" i="10"/>
  <c r="I16" i="10"/>
  <c r="E17" i="10"/>
  <c r="F17" i="10" s="1"/>
  <c r="G17" i="10" s="1"/>
  <c r="H17" i="10" s="1"/>
  <c r="I17" i="10" s="1"/>
  <c r="J17" i="10" s="1"/>
  <c r="K17" i="10" s="1"/>
  <c r="L17" i="10" s="1"/>
  <c r="M17" i="10" s="1"/>
  <c r="M9" i="10" s="1"/>
  <c r="H16" i="10"/>
  <c r="G16" i="10"/>
  <c r="F16" i="10"/>
  <c r="E16" i="10"/>
  <c r="D16" i="10"/>
  <c r="M14" i="10"/>
  <c r="L14" i="10"/>
  <c r="K14" i="10"/>
  <c r="J14" i="10"/>
  <c r="I14" i="10"/>
  <c r="H14" i="10"/>
  <c r="G14" i="10"/>
  <c r="F14" i="10"/>
  <c r="E14" i="10"/>
  <c r="D14" i="10"/>
  <c r="K12" i="10"/>
  <c r="L12" i="10"/>
  <c r="M12" i="10"/>
  <c r="J12" i="10"/>
  <c r="I12" i="10"/>
  <c r="H12" i="10"/>
  <c r="G12" i="10"/>
  <c r="F12" i="10"/>
  <c r="E12" i="10"/>
  <c r="E9" i="10" s="1"/>
  <c r="D12" i="10"/>
  <c r="M10" i="10"/>
  <c r="L10" i="10"/>
  <c r="K10" i="10"/>
  <c r="J10" i="10"/>
  <c r="I10" i="10"/>
  <c r="H10" i="10"/>
  <c r="G10" i="10"/>
  <c r="F10" i="10"/>
  <c r="E10" i="10"/>
  <c r="D10" i="10"/>
  <c r="F46" i="11"/>
  <c r="G46" i="11" s="1"/>
  <c r="F36" i="11"/>
  <c r="G36" i="11" s="1"/>
  <c r="F28" i="11"/>
  <c r="F27" i="11" s="1"/>
  <c r="F45" i="11" l="1"/>
  <c r="E11" i="14"/>
  <c r="D9" i="10"/>
  <c r="F9" i="10"/>
  <c r="G9" i="10"/>
  <c r="H9" i="10"/>
  <c r="I9" i="10"/>
  <c r="L9" i="10"/>
  <c r="J9" i="10"/>
  <c r="K9" i="10"/>
  <c r="H46" i="11"/>
  <c r="G45" i="11"/>
  <c r="H36" i="11"/>
  <c r="G35" i="11"/>
  <c r="F35" i="11"/>
  <c r="G28" i="11"/>
  <c r="I46" i="11" l="1"/>
  <c r="H45" i="11"/>
  <c r="I36" i="11"/>
  <c r="H35" i="11"/>
  <c r="H28" i="11"/>
  <c r="G27" i="11"/>
  <c r="I45" i="11" l="1"/>
  <c r="J46" i="11"/>
  <c r="I35" i="11"/>
  <c r="J36" i="11"/>
  <c r="I28" i="11"/>
  <c r="H27" i="11"/>
  <c r="K46" i="11" l="1"/>
  <c r="J45" i="11"/>
  <c r="J35" i="11"/>
  <c r="K36" i="11"/>
  <c r="I27" i="11"/>
  <c r="J28" i="11"/>
  <c r="L46" i="11" l="1"/>
  <c r="K45" i="11"/>
  <c r="L36" i="11"/>
  <c r="K35" i="11"/>
  <c r="K28" i="11"/>
  <c r="J27" i="11"/>
  <c r="M46" i="11" l="1"/>
  <c r="L45" i="11"/>
  <c r="M36" i="11"/>
  <c r="L35" i="11"/>
  <c r="L28" i="11"/>
  <c r="K27" i="11"/>
  <c r="M45" i="11" l="1"/>
  <c r="N46" i="11"/>
  <c r="M35" i="11"/>
  <c r="N36" i="11"/>
  <c r="M28" i="11"/>
  <c r="L27" i="11"/>
  <c r="O46" i="11" l="1"/>
  <c r="N45" i="11"/>
  <c r="O36" i="11"/>
  <c r="N35" i="11"/>
  <c r="M27" i="11"/>
  <c r="N28" i="11"/>
  <c r="P46" i="11" l="1"/>
  <c r="O45" i="11"/>
  <c r="P36" i="11"/>
  <c r="O35" i="11"/>
  <c r="O28" i="11"/>
  <c r="N27" i="11"/>
  <c r="Q46" i="11" l="1"/>
  <c r="Q45" i="11" s="1"/>
  <c r="P45" i="11"/>
  <c r="Q36" i="11"/>
  <c r="Q35" i="11" s="1"/>
  <c r="P35" i="11"/>
  <c r="P28" i="11"/>
  <c r="O27" i="11"/>
  <c r="Q28" i="11" l="1"/>
  <c r="Q27" i="11" s="1"/>
  <c r="P27" i="11"/>
  <c r="E10" i="18" l="1"/>
  <c r="D8" i="18"/>
  <c r="F43" i="11"/>
  <c r="F44" i="11"/>
  <c r="G44" i="11" s="1"/>
  <c r="H44" i="11" s="1"/>
  <c r="I44" i="11" s="1"/>
  <c r="J44" i="11" s="1"/>
  <c r="K44" i="11" s="1"/>
  <c r="L44" i="11" s="1"/>
  <c r="M44" i="11" s="1"/>
  <c r="N44" i="11" s="1"/>
  <c r="O44" i="11" s="1"/>
  <c r="P44" i="11" s="1"/>
  <c r="Q44" i="11" s="1"/>
  <c r="M31" i="14"/>
  <c r="E31" i="14"/>
  <c r="F34" i="11"/>
  <c r="G34" i="11" s="1"/>
  <c r="H34" i="11" s="1"/>
  <c r="I34" i="11" s="1"/>
  <c r="J34" i="11" s="1"/>
  <c r="K34" i="11" s="1"/>
  <c r="L34" i="11" s="1"/>
  <c r="M34" i="11" s="1"/>
  <c r="N34" i="11" s="1"/>
  <c r="O34" i="11" s="1"/>
  <c r="P34" i="11" s="1"/>
  <c r="Q34" i="11" s="1"/>
  <c r="F26" i="11"/>
  <c r="G26" i="11" s="1"/>
  <c r="H26" i="11" s="1"/>
  <c r="I26" i="11" s="1"/>
  <c r="J26" i="11" s="1"/>
  <c r="K26" i="11" s="1"/>
  <c r="L26" i="11" s="1"/>
  <c r="M26" i="11" s="1"/>
  <c r="N26" i="11" s="1"/>
  <c r="O26" i="11" s="1"/>
  <c r="P26" i="11" s="1"/>
  <c r="Q26" i="11" s="1"/>
  <c r="D6" i="11"/>
  <c r="D43" i="10"/>
  <c r="E43" i="10" s="1"/>
  <c r="F43" i="10" s="1"/>
  <c r="G43" i="10" s="1"/>
  <c r="H43" i="10" s="1"/>
  <c r="I43" i="10" s="1"/>
  <c r="J43" i="10" s="1"/>
  <c r="K43" i="10" s="1"/>
  <c r="L43" i="10" s="1"/>
  <c r="M43" i="10" s="1"/>
  <c r="D5" i="18" l="1"/>
  <c r="D28" i="10" s="1"/>
  <c r="D6" i="18"/>
  <c r="D25" i="11"/>
  <c r="F25" i="11"/>
  <c r="G43" i="11"/>
  <c r="F42" i="11"/>
  <c r="D45" i="11"/>
  <c r="F33" i="11"/>
  <c r="D9" i="18"/>
  <c r="D65" i="11"/>
  <c r="F10" i="18"/>
  <c r="E11" i="18"/>
  <c r="F11" i="18" s="1"/>
  <c r="G11" i="18" s="1"/>
  <c r="H11" i="18" s="1"/>
  <c r="I11" i="18" s="1"/>
  <c r="J11" i="18" s="1"/>
  <c r="K11" i="18" s="1"/>
  <c r="L11" i="18" s="1"/>
  <c r="M11" i="18" s="1"/>
  <c r="N11" i="18" s="1"/>
  <c r="O11" i="18" s="1"/>
  <c r="P11" i="18" s="1"/>
  <c r="D68" i="11"/>
  <c r="D48" i="11"/>
  <c r="F11" i="11"/>
  <c r="G11" i="11" s="1"/>
  <c r="H11" i="11" s="1"/>
  <c r="I11" i="11" s="1"/>
  <c r="J11" i="11" s="1"/>
  <c r="K11" i="11" s="1"/>
  <c r="L11" i="11" s="1"/>
  <c r="M11" i="11" s="1"/>
  <c r="N11" i="11" s="1"/>
  <c r="O11" i="11" s="1"/>
  <c r="P11" i="11" s="1"/>
  <c r="Q11" i="11" s="1"/>
  <c r="F6" i="11"/>
  <c r="D5" i="11"/>
  <c r="F10" i="11"/>
  <c r="C3" i="5"/>
  <c r="C18" i="5"/>
  <c r="C12" i="5"/>
  <c r="M63" i="14"/>
  <c r="E63" i="14"/>
  <c r="D30" i="10" l="1"/>
  <c r="D4" i="18"/>
  <c r="H43" i="11"/>
  <c r="G42" i="11"/>
  <c r="G33" i="11"/>
  <c r="F32" i="11"/>
  <c r="G25" i="11"/>
  <c r="F24" i="11"/>
  <c r="G6" i="11"/>
  <c r="E6" i="18"/>
  <c r="G10" i="18"/>
  <c r="F9" i="18"/>
  <c r="F30" i="10" s="1"/>
  <c r="E9" i="18"/>
  <c r="E30" i="10" s="1"/>
  <c r="D7" i="18"/>
  <c r="D29" i="10" s="1"/>
  <c r="F9" i="11"/>
  <c r="G10" i="11"/>
  <c r="F5" i="11"/>
  <c r="E5" i="18" s="1"/>
  <c r="C2" i="5"/>
  <c r="C20" i="5" s="1"/>
  <c r="D74" i="11" l="1"/>
  <c r="D14" i="11"/>
  <c r="D54" i="11"/>
  <c r="D34" i="11"/>
  <c r="H6" i="11"/>
  <c r="F6" i="18"/>
  <c r="H25" i="11"/>
  <c r="G24" i="11"/>
  <c r="H33" i="11"/>
  <c r="G32" i="11"/>
  <c r="E28" i="10"/>
  <c r="E4" i="18"/>
  <c r="H42" i="11"/>
  <c r="I43" i="11"/>
  <c r="H10" i="18"/>
  <c r="G9" i="18"/>
  <c r="G30" i="10" s="1"/>
  <c r="G5" i="11"/>
  <c r="F5" i="18" s="1"/>
  <c r="F4" i="11"/>
  <c r="H10" i="11"/>
  <c r="G9" i="11"/>
  <c r="D56" i="11" l="1"/>
  <c r="D55" i="11"/>
  <c r="D53" i="11" s="1"/>
  <c r="D44" i="11" s="1"/>
  <c r="D16" i="11"/>
  <c r="D15" i="18" s="1"/>
  <c r="D13" i="18"/>
  <c r="D15" i="11"/>
  <c r="D35" i="11"/>
  <c r="D33" i="11" s="1"/>
  <c r="D24" i="11" s="1"/>
  <c r="D36" i="11"/>
  <c r="D76" i="11"/>
  <c r="D75" i="11"/>
  <c r="D73" i="11" s="1"/>
  <c r="D64" i="11" s="1"/>
  <c r="D80" i="11" s="1"/>
  <c r="E80" i="11" s="1"/>
  <c r="H32" i="11"/>
  <c r="I33" i="11"/>
  <c r="F28" i="10"/>
  <c r="F4" i="18"/>
  <c r="I25" i="11"/>
  <c r="H24" i="11"/>
  <c r="I42" i="11"/>
  <c r="J43" i="11"/>
  <c r="I6" i="11"/>
  <c r="G6" i="18"/>
  <c r="H9" i="18"/>
  <c r="H30" i="10" s="1"/>
  <c r="I10" i="18"/>
  <c r="H5" i="11"/>
  <c r="G5" i="18" s="1"/>
  <c r="G4" i="11"/>
  <c r="I10" i="11"/>
  <c r="H9" i="11"/>
  <c r="D59" i="11" l="1"/>
  <c r="D58" i="11"/>
  <c r="D38" i="11"/>
  <c r="D39" i="11"/>
  <c r="D13" i="11"/>
  <c r="D14" i="18"/>
  <c r="J6" i="11"/>
  <c r="H6" i="18"/>
  <c r="G28" i="10"/>
  <c r="G4" i="18"/>
  <c r="K43" i="11"/>
  <c r="J42" i="11"/>
  <c r="I32" i="11"/>
  <c r="J33" i="11"/>
  <c r="J25" i="11"/>
  <c r="I24" i="11"/>
  <c r="I9" i="18"/>
  <c r="I30" i="10" s="1"/>
  <c r="J10" i="18"/>
  <c r="I5" i="11"/>
  <c r="H5" i="18" s="1"/>
  <c r="H4" i="11"/>
  <c r="J10" i="11"/>
  <c r="I9" i="11"/>
  <c r="G22" i="6"/>
  <c r="H22" i="6" s="1"/>
  <c r="D37" i="11" l="1"/>
  <c r="D40" i="11" s="1"/>
  <c r="E41" i="11" s="1"/>
  <c r="D57" i="11"/>
  <c r="D60" i="11" s="1"/>
  <c r="E60" i="11" s="1"/>
  <c r="K6" i="11"/>
  <c r="I6" i="18"/>
  <c r="K25" i="11"/>
  <c r="J24" i="11"/>
  <c r="J32" i="11"/>
  <c r="K33" i="11"/>
  <c r="L43" i="11"/>
  <c r="K42" i="11"/>
  <c r="H28" i="10"/>
  <c r="H4" i="18"/>
  <c r="K10" i="18"/>
  <c r="J9" i="18"/>
  <c r="J30" i="10" s="1"/>
  <c r="J5" i="11"/>
  <c r="I5" i="18" s="1"/>
  <c r="I4" i="11"/>
  <c r="K10" i="11"/>
  <c r="J9" i="11"/>
  <c r="E4" i="9"/>
  <c r="E5" i="9" s="1"/>
  <c r="D21" i="10" s="1"/>
  <c r="F4" i="9"/>
  <c r="G4" i="9"/>
  <c r="M43" i="11" l="1"/>
  <c r="L42" i="11"/>
  <c r="I28" i="10"/>
  <c r="I4" i="18"/>
  <c r="K32" i="11"/>
  <c r="L33" i="11"/>
  <c r="L25" i="11"/>
  <c r="K24" i="11"/>
  <c r="L6" i="11"/>
  <c r="J6" i="18"/>
  <c r="L10" i="18"/>
  <c r="K9" i="18"/>
  <c r="K30" i="10" s="1"/>
  <c r="K5" i="11"/>
  <c r="J5" i="18" s="1"/>
  <c r="J4" i="11"/>
  <c r="F8" i="11"/>
  <c r="E8" i="18" s="1"/>
  <c r="E7" i="18" s="1"/>
  <c r="E29" i="10" s="1"/>
  <c r="L10" i="11"/>
  <c r="K9" i="11"/>
  <c r="D8" i="11"/>
  <c r="J4" i="9"/>
  <c r="I4" i="9"/>
  <c r="H4" i="9"/>
  <c r="K4" i="9"/>
  <c r="L32" i="11" l="1"/>
  <c r="M33" i="11"/>
  <c r="M25" i="11"/>
  <c r="L24" i="11"/>
  <c r="J28" i="10"/>
  <c r="J4" i="18"/>
  <c r="M6" i="11"/>
  <c r="K6" i="18"/>
  <c r="M42" i="11"/>
  <c r="N43" i="11"/>
  <c r="M10" i="18"/>
  <c r="L9" i="18"/>
  <c r="L30" i="10" s="1"/>
  <c r="F7" i="11"/>
  <c r="G8" i="11"/>
  <c r="F8" i="18" s="1"/>
  <c r="F7" i="18" s="1"/>
  <c r="F29" i="10" s="1"/>
  <c r="L5" i="11"/>
  <c r="K5" i="18" s="1"/>
  <c r="K4" i="11"/>
  <c r="M10" i="11"/>
  <c r="L9" i="11"/>
  <c r="L4" i="9"/>
  <c r="N6" i="11" l="1"/>
  <c r="L6" i="18"/>
  <c r="M24" i="11"/>
  <c r="N25" i="11"/>
  <c r="O43" i="11"/>
  <c r="N42" i="11"/>
  <c r="M32" i="11"/>
  <c r="N33" i="11"/>
  <c r="K28" i="10"/>
  <c r="K4" i="18"/>
  <c r="M9" i="18"/>
  <c r="M30" i="10" s="1"/>
  <c r="N10" i="18"/>
  <c r="M5" i="11"/>
  <c r="L5" i="18" s="1"/>
  <c r="L4" i="11"/>
  <c r="H8" i="11"/>
  <c r="G8" i="18" s="1"/>
  <c r="G7" i="18" s="1"/>
  <c r="G29" i="10" s="1"/>
  <c r="G7" i="11"/>
  <c r="N10" i="11"/>
  <c r="M9" i="11"/>
  <c r="M4" i="9"/>
  <c r="O33" i="11" l="1"/>
  <c r="N32" i="11"/>
  <c r="O42" i="11"/>
  <c r="P43" i="11"/>
  <c r="L28" i="10"/>
  <c r="L4" i="18"/>
  <c r="O25" i="11"/>
  <c r="N24" i="11"/>
  <c r="O6" i="11"/>
  <c r="M6" i="18"/>
  <c r="O10" i="18"/>
  <c r="N9" i="18"/>
  <c r="N5" i="11"/>
  <c r="M5" i="18" s="1"/>
  <c r="M4" i="11"/>
  <c r="I8" i="11"/>
  <c r="H8" i="18" s="1"/>
  <c r="H7" i="18" s="1"/>
  <c r="H29" i="10" s="1"/>
  <c r="H7" i="11"/>
  <c r="O10" i="11"/>
  <c r="N9" i="11"/>
  <c r="N4" i="9"/>
  <c r="K18" i="7"/>
  <c r="L18" i="7"/>
  <c r="M18" i="7"/>
  <c r="N32" i="7"/>
  <c r="O32" i="7"/>
  <c r="D4" i="6"/>
  <c r="F26" i="7" s="1"/>
  <c r="M9" i="7"/>
  <c r="O4" i="9" s="1"/>
  <c r="L9" i="7"/>
  <c r="K9" i="7"/>
  <c r="L5" i="9" s="1"/>
  <c r="K21" i="10" s="1"/>
  <c r="K11" i="7"/>
  <c r="L11" i="7" s="1"/>
  <c r="M11" i="7" s="1"/>
  <c r="M10" i="7"/>
  <c r="L10" i="7"/>
  <c r="K10" i="7"/>
  <c r="H5" i="9"/>
  <c r="G21" i="10" s="1"/>
  <c r="I5" i="9"/>
  <c r="H21" i="10" s="1"/>
  <c r="I9" i="7"/>
  <c r="H9" i="7"/>
  <c r="G9" i="7"/>
  <c r="F9" i="7"/>
  <c r="E9" i="7"/>
  <c r="F11" i="7"/>
  <c r="G11" i="7"/>
  <c r="H11" i="7" s="1"/>
  <c r="I11" i="7" s="1"/>
  <c r="J11" i="7" s="1"/>
  <c r="E11" i="7"/>
  <c r="J10" i="7"/>
  <c r="I10" i="7"/>
  <c r="H10" i="7"/>
  <c r="G10" i="7"/>
  <c r="F10" i="7"/>
  <c r="E10" i="7"/>
  <c r="D10" i="7"/>
  <c r="J9" i="7"/>
  <c r="D9" i="7"/>
  <c r="K5" i="9"/>
  <c r="J21" i="10" s="1"/>
  <c r="J5" i="9"/>
  <c r="I21" i="10" s="1"/>
  <c r="D40" i="7"/>
  <c r="E40" i="7" s="1"/>
  <c r="F40" i="7" s="1"/>
  <c r="G40" i="7" s="1"/>
  <c r="H40" i="7" s="1"/>
  <c r="I40" i="7" s="1"/>
  <c r="J40" i="7" s="1"/>
  <c r="F7" i="6"/>
  <c r="P6" i="11" l="1"/>
  <c r="N6" i="18"/>
  <c r="M28" i="10"/>
  <c r="M4" i="18"/>
  <c r="O24" i="11"/>
  <c r="P25" i="11"/>
  <c r="Q43" i="11"/>
  <c r="Q42" i="11" s="1"/>
  <c r="P42" i="11"/>
  <c r="P33" i="11"/>
  <c r="O32" i="11"/>
  <c r="P10" i="18"/>
  <c r="O9" i="18"/>
  <c r="O5" i="11"/>
  <c r="N5" i="18" s="1"/>
  <c r="N4" i="11"/>
  <c r="J8" i="11"/>
  <c r="I8" i="18" s="1"/>
  <c r="I7" i="18" s="1"/>
  <c r="I29" i="10" s="1"/>
  <c r="I7" i="11"/>
  <c r="P10" i="11"/>
  <c r="O9" i="11"/>
  <c r="K14" i="7"/>
  <c r="J14" i="7"/>
  <c r="I14" i="7"/>
  <c r="G14" i="7"/>
  <c r="H14" i="7"/>
  <c r="H26" i="7"/>
  <c r="J26" i="7"/>
  <c r="G26" i="7"/>
  <c r="K26" i="7"/>
  <c r="D26" i="7"/>
  <c r="L26" i="7"/>
  <c r="E26" i="7"/>
  <c r="M26" i="7"/>
  <c r="D14" i="7"/>
  <c r="N5" i="9"/>
  <c r="M5" i="9"/>
  <c r="F4" i="6"/>
  <c r="I26" i="7" s="1"/>
  <c r="P9" i="18" l="1"/>
  <c r="N4" i="18"/>
  <c r="Q25" i="11"/>
  <c r="Q24" i="11" s="1"/>
  <c r="P24" i="11"/>
  <c r="Q33" i="11"/>
  <c r="Q32" i="11" s="1"/>
  <c r="P32" i="11"/>
  <c r="Q6" i="11"/>
  <c r="P6" i="18" s="1"/>
  <c r="O6" i="18"/>
  <c r="P5" i="11"/>
  <c r="O5" i="18" s="1"/>
  <c r="O4" i="11"/>
  <c r="K8" i="11"/>
  <c r="J8" i="18" s="1"/>
  <c r="J7" i="18" s="1"/>
  <c r="J29" i="10" s="1"/>
  <c r="J7" i="11"/>
  <c r="Q10" i="11"/>
  <c r="Q9" i="11" s="1"/>
  <c r="P9" i="11"/>
  <c r="M14" i="7"/>
  <c r="M21" i="10"/>
  <c r="L14" i="7"/>
  <c r="L21" i="10"/>
  <c r="G18" i="7"/>
  <c r="H18" i="7"/>
  <c r="I18" i="7"/>
  <c r="J18" i="7"/>
  <c r="F18" i="7"/>
  <c r="D5" i="6"/>
  <c r="F23" i="6"/>
  <c r="O4" i="18" l="1"/>
  <c r="P4" i="11"/>
  <c r="Q5" i="11"/>
  <c r="L8" i="11"/>
  <c r="K8" i="18" s="1"/>
  <c r="K7" i="18" s="1"/>
  <c r="K29" i="10" s="1"/>
  <c r="K7" i="11"/>
  <c r="E18" i="7"/>
  <c r="D18" i="7"/>
  <c r="F5" i="6"/>
  <c r="D6" i="6"/>
  <c r="D10" i="6"/>
  <c r="Q4" i="11" l="1"/>
  <c r="P5" i="18"/>
  <c r="P4" i="18" s="1"/>
  <c r="M8" i="11"/>
  <c r="L8" i="18" s="1"/>
  <c r="L7" i="18" s="1"/>
  <c r="L29" i="10" s="1"/>
  <c r="L7" i="11"/>
  <c r="L27" i="7"/>
  <c r="K27" i="7"/>
  <c r="I27" i="7"/>
  <c r="J27" i="7"/>
  <c r="H27" i="7"/>
  <c r="M27" i="7"/>
  <c r="G27" i="7"/>
  <c r="E27" i="7"/>
  <c r="F27" i="7"/>
  <c r="D27" i="7"/>
  <c r="F10" i="6"/>
  <c r="F6" i="6"/>
  <c r="N8" i="11" l="1"/>
  <c r="M8" i="18" s="1"/>
  <c r="M7" i="18" s="1"/>
  <c r="M29" i="10" s="1"/>
  <c r="M7" i="11"/>
  <c r="F14" i="6"/>
  <c r="N7" i="11" l="1"/>
  <c r="O8" i="11"/>
  <c r="N8" i="18" s="1"/>
  <c r="N7" i="18" s="1"/>
  <c r="D8" i="6"/>
  <c r="F8" i="6" s="1"/>
  <c r="G8" i="6"/>
  <c r="C6" i="10"/>
  <c r="C7" i="7"/>
  <c r="D13" i="6"/>
  <c r="F13" i="6" s="1"/>
  <c r="P8" i="11" l="1"/>
  <c r="O8" i="18" s="1"/>
  <c r="O7" i="18" s="1"/>
  <c r="O7" i="11"/>
  <c r="D17" i="6"/>
  <c r="F17" i="6" s="1"/>
  <c r="D9" i="6"/>
  <c r="F9" i="6" s="1"/>
  <c r="D15" i="6"/>
  <c r="F15" i="6" s="1"/>
  <c r="C41" i="10"/>
  <c r="C5" i="10"/>
  <c r="Q8" i="11" l="1"/>
  <c r="P7" i="11"/>
  <c r="D37" i="10"/>
  <c r="E37" i="10" s="1"/>
  <c r="F37" i="10" s="1"/>
  <c r="G37" i="10" s="1"/>
  <c r="H37" i="10" s="1"/>
  <c r="I37" i="10" s="1"/>
  <c r="J37" i="10" s="1"/>
  <c r="K37" i="10" s="1"/>
  <c r="L37" i="10" s="1"/>
  <c r="M37" i="10" s="1"/>
  <c r="D12" i="6"/>
  <c r="F12" i="6" s="1"/>
  <c r="C45" i="10"/>
  <c r="C44" i="10"/>
  <c r="C22" i="7"/>
  <c r="C37" i="7" s="1"/>
  <c r="C18" i="7"/>
  <c r="Q7" i="11" l="1"/>
  <c r="P8" i="18"/>
  <c r="P7" i="18" s="1"/>
  <c r="C46" i="10"/>
  <c r="C38" i="7"/>
  <c r="G5" i="9" l="1"/>
  <c r="F5" i="9"/>
  <c r="F21" i="10" l="1"/>
  <c r="F14" i="7"/>
  <c r="E21" i="10"/>
  <c r="E14" i="7"/>
  <c r="D3" i="6"/>
  <c r="D2" i="6" s="1"/>
  <c r="D18" i="6" s="1"/>
  <c r="F11" i="6"/>
  <c r="D19" i="6" l="1"/>
  <c r="D25" i="7" l="1"/>
  <c r="F19" i="6"/>
  <c r="J28" i="7"/>
  <c r="J30" i="7" s="1"/>
  <c r="F18" i="6"/>
  <c r="H28" i="7"/>
  <c r="H30" i="7" s="1"/>
  <c r="K28" i="7"/>
  <c r="K30" i="7" s="1"/>
  <c r="M28" i="7"/>
  <c r="M30" i="7" s="1"/>
  <c r="I28" i="7"/>
  <c r="I30" i="7" s="1"/>
  <c r="D28" i="7"/>
  <c r="E28" i="7"/>
  <c r="E30" i="7" s="1"/>
  <c r="D16" i="6"/>
  <c r="G28" i="7"/>
  <c r="G30" i="7" s="1"/>
  <c r="L28" i="7"/>
  <c r="L30" i="7" s="1"/>
  <c r="F28" i="7"/>
  <c r="F30" i="7" s="1"/>
  <c r="I32" i="7" l="1"/>
  <c r="M32" i="7"/>
  <c r="G32" i="7"/>
  <c r="L32" i="7"/>
  <c r="F16" i="6"/>
  <c r="D20" i="6"/>
  <c r="G20" i="6" s="1"/>
  <c r="H20" i="6" s="1"/>
  <c r="J32" i="7"/>
  <c r="F32" i="7"/>
  <c r="E32" i="7"/>
  <c r="K32" i="7"/>
  <c r="H32" i="7"/>
  <c r="D30" i="7"/>
  <c r="E36" i="7" l="1"/>
  <c r="E37" i="7" s="1"/>
  <c r="E41" i="7" s="1"/>
  <c r="F36" i="7"/>
  <c r="F37" i="7" s="1"/>
  <c r="F41" i="7" s="1"/>
  <c r="H36" i="7"/>
  <c r="H37" i="7" s="1"/>
  <c r="H41" i="7" s="1"/>
  <c r="G36" i="7"/>
  <c r="G37" i="7" s="1"/>
  <c r="G41" i="7" s="1"/>
  <c r="D24" i="6"/>
  <c r="F20" i="6"/>
  <c r="I36" i="7"/>
  <c r="I37" i="7" s="1"/>
  <c r="I41" i="7" s="1"/>
  <c r="D32" i="7"/>
  <c r="J36" i="7"/>
  <c r="J37" i="7" s="1"/>
  <c r="J41" i="7" s="1"/>
  <c r="D36" i="7" l="1"/>
  <c r="D37" i="7" s="1"/>
  <c r="D38" i="7" l="1"/>
  <c r="E38" i="7" s="1"/>
  <c r="F38" i="7" s="1"/>
  <c r="C43" i="7"/>
  <c r="D41" i="7"/>
  <c r="C42" i="7" s="1"/>
  <c r="C44" i="7" l="1"/>
  <c r="G38" i="7"/>
  <c r="H38" i="7" s="1"/>
  <c r="I38" i="7" s="1"/>
  <c r="J38" i="7" s="1"/>
  <c r="D4" i="11" l="1"/>
  <c r="D18" i="11" l="1"/>
  <c r="D17" i="18" s="1"/>
  <c r="D19" i="11"/>
  <c r="D18" i="18" s="1"/>
  <c r="G31" i="10"/>
  <c r="F31" i="10"/>
  <c r="E31" i="10"/>
  <c r="H31" i="10"/>
  <c r="I31" i="10"/>
  <c r="J31" i="10"/>
  <c r="K31" i="10" s="1"/>
  <c r="L31" i="10" s="1"/>
  <c r="M31" i="10" s="1"/>
  <c r="D31" i="10"/>
  <c r="D17" i="11" l="1"/>
  <c r="I32" i="10" l="1"/>
  <c r="I33" i="10" s="1"/>
  <c r="I35" i="10" s="1"/>
  <c r="I39" i="10" s="1"/>
  <c r="I41" i="10" s="1"/>
  <c r="G32" i="10"/>
  <c r="G33" i="10" s="1"/>
  <c r="G35" i="10" s="1"/>
  <c r="E32" i="10"/>
  <c r="E33" i="10" s="1"/>
  <c r="E35" i="10" s="1"/>
  <c r="E39" i="10" s="1"/>
  <c r="E41" i="10" s="1"/>
  <c r="F32" i="10"/>
  <c r="F33" i="10" s="1"/>
  <c r="F35" i="10" s="1"/>
  <c r="F39" i="10" s="1"/>
  <c r="F41" i="10" s="1"/>
  <c r="D20" i="11"/>
  <c r="E21" i="11" s="1"/>
  <c r="J32" i="10"/>
  <c r="K32" i="10" s="1"/>
  <c r="L32" i="10" s="1"/>
  <c r="H32" i="10"/>
  <c r="H33" i="10" s="1"/>
  <c r="H35" i="10" s="1"/>
  <c r="H39" i="10" s="1"/>
  <c r="H41" i="10" s="1"/>
  <c r="H45" i="10" s="1"/>
  <c r="D32" i="10"/>
  <c r="D33" i="10" s="1"/>
  <c r="C29" i="10" s="1"/>
  <c r="G9" i="9" l="1"/>
  <c r="G14" i="9" s="1"/>
  <c r="G15" i="9" s="1"/>
  <c r="F16" i="7" s="1"/>
  <c r="H9" i="9"/>
  <c r="H10" i="9" s="1"/>
  <c r="G22" i="10" s="1"/>
  <c r="J33" i="10"/>
  <c r="K9" i="9" s="1"/>
  <c r="K10" i="9" s="1"/>
  <c r="I9" i="9"/>
  <c r="I10" i="9" s="1"/>
  <c r="H22" i="10" s="1"/>
  <c r="J9" i="9"/>
  <c r="J10" i="9" s="1"/>
  <c r="I22" i="10" s="1"/>
  <c r="C28" i="10"/>
  <c r="C32" i="10"/>
  <c r="K33" i="10"/>
  <c r="C31" i="10"/>
  <c r="C30" i="10"/>
  <c r="F9" i="9"/>
  <c r="F14" i="9" s="1"/>
  <c r="F15" i="9" s="1"/>
  <c r="E16" i="7" s="1"/>
  <c r="D35" i="10"/>
  <c r="D39" i="10" s="1"/>
  <c r="E9" i="9"/>
  <c r="E14" i="9" s="1"/>
  <c r="E15" i="9" s="1"/>
  <c r="H44" i="10"/>
  <c r="I45" i="10"/>
  <c r="I44" i="10"/>
  <c r="G39" i="10"/>
  <c r="G41" i="10" s="1"/>
  <c r="F44" i="10"/>
  <c r="F45" i="10"/>
  <c r="E45" i="10"/>
  <c r="E44" i="10"/>
  <c r="H14" i="9"/>
  <c r="H15" i="9" s="1"/>
  <c r="G23" i="10" s="1"/>
  <c r="G10" i="9"/>
  <c r="F22" i="10" s="1"/>
  <c r="G15" i="7"/>
  <c r="M32" i="10"/>
  <c r="M33" i="10" s="1"/>
  <c r="L33" i="10"/>
  <c r="I15" i="7" l="1"/>
  <c r="K14" i="9"/>
  <c r="K15" i="9" s="1"/>
  <c r="J16" i="7" s="1"/>
  <c r="L9" i="9"/>
  <c r="L10" i="9" s="1"/>
  <c r="J35" i="10"/>
  <c r="J39" i="10" s="1"/>
  <c r="J41" i="10" s="1"/>
  <c r="J44" i="10" s="1"/>
  <c r="H15" i="7"/>
  <c r="I14" i="9"/>
  <c r="I15" i="9" s="1"/>
  <c r="H23" i="10" s="1"/>
  <c r="H20" i="10" s="1"/>
  <c r="H25" i="10" s="1"/>
  <c r="F23" i="10"/>
  <c r="F20" i="10" s="1"/>
  <c r="F25" i="10" s="1"/>
  <c r="K35" i="10"/>
  <c r="K39" i="10" s="1"/>
  <c r="K41" i="10" s="1"/>
  <c r="J14" i="9"/>
  <c r="J15" i="9" s="1"/>
  <c r="I16" i="7" s="1"/>
  <c r="I13" i="7" s="1"/>
  <c r="F10" i="9"/>
  <c r="E15" i="7" s="1"/>
  <c r="E13" i="7" s="1"/>
  <c r="E10" i="9"/>
  <c r="D22" i="10" s="1"/>
  <c r="E23" i="10"/>
  <c r="D41" i="10"/>
  <c r="D46" i="10" s="1"/>
  <c r="D53" i="10" s="1"/>
  <c r="D54" i="10" s="1"/>
  <c r="H16" i="7"/>
  <c r="G44" i="10"/>
  <c r="G45" i="10"/>
  <c r="F15" i="7"/>
  <c r="F13" i="7" s="1"/>
  <c r="G16" i="7"/>
  <c r="G13" i="7" s="1"/>
  <c r="G20" i="10"/>
  <c r="G25" i="10" s="1"/>
  <c r="M35" i="10"/>
  <c r="N9" i="9"/>
  <c r="J22" i="10"/>
  <c r="J15" i="7"/>
  <c r="D16" i="7"/>
  <c r="D23" i="10"/>
  <c r="L35" i="10"/>
  <c r="M9" i="9"/>
  <c r="J23" i="10" l="1"/>
  <c r="J20" i="10" s="1"/>
  <c r="J25" i="10" s="1"/>
  <c r="L14" i="9"/>
  <c r="L15" i="9" s="1"/>
  <c r="K16" i="7" s="1"/>
  <c r="J45" i="10"/>
  <c r="I23" i="10"/>
  <c r="I20" i="10" s="1"/>
  <c r="I25" i="10" s="1"/>
  <c r="H13" i="7"/>
  <c r="D15" i="7"/>
  <c r="D13" i="7" s="1"/>
  <c r="D45" i="10"/>
  <c r="E22" i="10"/>
  <c r="E20" i="10" s="1"/>
  <c r="E25" i="10" s="1"/>
  <c r="D44" i="10"/>
  <c r="K44" i="10"/>
  <c r="K45" i="10"/>
  <c r="L39" i="10"/>
  <c r="L41" i="10" s="1"/>
  <c r="M39" i="10"/>
  <c r="M41" i="10" s="1"/>
  <c r="E46" i="10"/>
  <c r="E53" i="10" s="1"/>
  <c r="E54" i="10" s="1"/>
  <c r="D20" i="10"/>
  <c r="D25" i="10" s="1"/>
  <c r="J13" i="7"/>
  <c r="K22" i="10"/>
  <c r="K15" i="7"/>
  <c r="M10" i="9"/>
  <c r="M14" i="9"/>
  <c r="M15" i="9" s="1"/>
  <c r="N14" i="9"/>
  <c r="N15" i="9" s="1"/>
  <c r="N10" i="9"/>
  <c r="K23" i="10" l="1"/>
  <c r="C49" i="10"/>
  <c r="M45" i="10"/>
  <c r="M44" i="10"/>
  <c r="L45" i="10"/>
  <c r="L44" i="10"/>
  <c r="C50" i="10"/>
  <c r="F46" i="10"/>
  <c r="F53" i="10" s="1"/>
  <c r="F54" i="10" s="1"/>
  <c r="K20" i="10"/>
  <c r="K25" i="10" s="1"/>
  <c r="M15" i="7"/>
  <c r="M22" i="10"/>
  <c r="L16" i="7"/>
  <c r="L23" i="10"/>
  <c r="K13" i="7"/>
  <c r="M16" i="7"/>
  <c r="M23" i="10"/>
  <c r="L15" i="7"/>
  <c r="L22" i="10"/>
  <c r="G46" i="10" l="1"/>
  <c r="G53" i="10" s="1"/>
  <c r="G54" i="10" s="1"/>
  <c r="L20" i="10"/>
  <c r="L25" i="10" s="1"/>
  <c r="M20" i="10"/>
  <c r="M25" i="10" s="1"/>
  <c r="M13" i="7"/>
  <c r="L13" i="7"/>
  <c r="H46" i="10" l="1"/>
  <c r="H53" i="10" s="1"/>
  <c r="H54" i="10" s="1"/>
  <c r="I46" i="10" l="1"/>
  <c r="I53" i="10" s="1"/>
  <c r="I54" i="10" s="1"/>
  <c r="J46" i="10" l="1"/>
  <c r="J53" i="10" s="1"/>
  <c r="J54" i="10" s="1"/>
  <c r="K46" i="10" l="1"/>
  <c r="K53" i="10" s="1"/>
  <c r="K54" i="10" s="1"/>
  <c r="L46" i="10" l="1"/>
  <c r="L53" i="10" s="1"/>
  <c r="L54" i="10" s="1"/>
  <c r="M46" i="10" l="1"/>
  <c r="M53" i="10" s="1"/>
  <c r="M54" i="10" s="1"/>
  <c r="C51" i="10" s="1"/>
  <c r="D12" i="18" l="1"/>
  <c r="D3" i="18" l="1"/>
  <c r="D16" i="18" l="1"/>
  <c r="D19" i="18"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Ritu Kamra</author>
  </authors>
  <commentList>
    <comment ref="C50" authorId="0" shapeId="0" xr:uid="{B8C938DB-A996-4F01-99B4-5B4C5E78987B}">
      <text>
        <r>
          <rPr>
            <b/>
            <sz val="9"/>
            <color indexed="81"/>
            <rFont val="Tahoma"/>
            <family val="2"/>
          </rPr>
          <t>Ritu Kamra:</t>
        </r>
        <r>
          <rPr>
            <sz val="9"/>
            <color indexed="81"/>
            <rFont val="Tahoma"/>
            <family val="2"/>
          </rPr>
          <t xml:space="preserve">
</t>
        </r>
      </text>
    </comment>
  </commentList>
</comments>
</file>

<file path=xl/sharedStrings.xml><?xml version="1.0" encoding="utf-8"?>
<sst xmlns="http://schemas.openxmlformats.org/spreadsheetml/2006/main" count="928" uniqueCount="360">
  <si>
    <t xml:space="preserve">Unit Rate </t>
  </si>
  <si>
    <t>A</t>
  </si>
  <si>
    <t>B</t>
  </si>
  <si>
    <t>C</t>
  </si>
  <si>
    <t>D</t>
  </si>
  <si>
    <t xml:space="preserve">Raw Material </t>
  </si>
  <si>
    <t>Total</t>
  </si>
  <si>
    <t>Depriciation</t>
  </si>
  <si>
    <t>MAIN PROCESS EQUIPMENTS</t>
  </si>
  <si>
    <t>[USD]</t>
  </si>
  <si>
    <t>C1</t>
  </si>
  <si>
    <t>C2</t>
  </si>
  <si>
    <t>ITEM</t>
  </si>
  <si>
    <t>TOTAL FIXED-CAPITAL INVESTMENT</t>
  </si>
  <si>
    <t>A1</t>
  </si>
  <si>
    <t>TOTAL DIRECT PLANT COST</t>
  </si>
  <si>
    <t>Delivered main equipment (includes auxiliary equipment)</t>
  </si>
  <si>
    <t>Purchased-equipment installation</t>
  </si>
  <si>
    <t>Instrumentation and controls (installed)</t>
  </si>
  <si>
    <t>Piping (installed)</t>
  </si>
  <si>
    <t>Electrical (installed)</t>
  </si>
  <si>
    <t>Buildings (including services)</t>
  </si>
  <si>
    <t>Service facilities (installed)</t>
  </si>
  <si>
    <t>A2</t>
  </si>
  <si>
    <t>TOTAL INDIRECT PLANT COST</t>
  </si>
  <si>
    <t>Engineering and supervision</t>
  </si>
  <si>
    <t>Construction expenses</t>
  </si>
  <si>
    <t>Legal expenses</t>
  </si>
  <si>
    <t>Contractor’s fee</t>
  </si>
  <si>
    <t>Contingency</t>
  </si>
  <si>
    <t>WORKING CAPITAL</t>
  </si>
  <si>
    <t>Safety and hazard analyses</t>
  </si>
  <si>
    <t>MANUFACTURING COST</t>
  </si>
  <si>
    <r>
      <t xml:space="preserve">C1 </t>
    </r>
    <r>
      <rPr>
        <sz val="9"/>
        <color theme="1"/>
        <rFont val="Arial Black"/>
        <family val="2"/>
      </rPr>
      <t xml:space="preserve">+ </t>
    </r>
    <r>
      <rPr>
        <b/>
        <sz val="9"/>
        <color theme="1"/>
        <rFont val="Palladio Uralic"/>
      </rPr>
      <t xml:space="preserve">C2 </t>
    </r>
    <r>
      <rPr>
        <sz val="9"/>
        <color theme="1"/>
        <rFont val="Arial Black"/>
        <family val="2"/>
      </rPr>
      <t xml:space="preserve">+ </t>
    </r>
    <r>
      <rPr>
        <b/>
        <sz val="9"/>
        <color theme="1"/>
        <rFont val="Palladio Uralic"/>
      </rPr>
      <t>C3</t>
    </r>
  </si>
  <si>
    <t>DIRECT PRODUCTION COSTS</t>
  </si>
  <si>
    <t>1 to 8</t>
  </si>
  <si>
    <t>Raw materials (calculated)</t>
  </si>
  <si>
    <t>-</t>
  </si>
  <si>
    <t>Operating labor (calculated)</t>
  </si>
  <si>
    <t>Direct supervisory and clerical labor (17.5% of operating labor)</t>
  </si>
  <si>
    <t>Utilities (calculated)</t>
  </si>
  <si>
    <t>Operating supplies (15% of cost for maintenance and repairs)</t>
  </si>
  <si>
    <t>Laboratory charges (15% of operating labor)</t>
  </si>
  <si>
    <t>Patents and royalties (4% of C1.1 to C1.7)</t>
  </si>
  <si>
    <t>INDIRECT PRODUCTION COSTS</t>
  </si>
  <si>
    <t>C3</t>
  </si>
  <si>
    <r>
      <t xml:space="preserve">PLANT-OVERHEAD COSTS (60% of 2 </t>
    </r>
    <r>
      <rPr>
        <sz val="9"/>
        <color theme="1"/>
        <rFont val="Arial Black"/>
        <family val="2"/>
      </rPr>
      <t xml:space="preserve">+ </t>
    </r>
    <r>
      <rPr>
        <sz val="9"/>
        <color theme="1"/>
        <rFont val="Palladio Uralic"/>
      </rPr>
      <t xml:space="preserve">3 </t>
    </r>
    <r>
      <rPr>
        <sz val="9"/>
        <color theme="1"/>
        <rFont val="Arial Black"/>
        <family val="2"/>
      </rPr>
      <t xml:space="preserve">+ </t>
    </r>
    <r>
      <rPr>
        <sz val="9"/>
        <color theme="1"/>
        <rFont val="Palladio Uralic"/>
      </rPr>
      <t>5)</t>
    </r>
  </si>
  <si>
    <t>GENERAL EXPENSES</t>
  </si>
  <si>
    <t>14 to 16</t>
  </si>
  <si>
    <r>
      <t xml:space="preserve">Administrative costs (15% of 2 </t>
    </r>
    <r>
      <rPr>
        <sz val="9"/>
        <color theme="1"/>
        <rFont val="Arial Black"/>
        <family val="2"/>
      </rPr>
      <t xml:space="preserve">+ </t>
    </r>
    <r>
      <rPr>
        <sz val="9"/>
        <color theme="1"/>
        <rFont val="Palladio Uralic"/>
      </rPr>
      <t xml:space="preserve">3 </t>
    </r>
    <r>
      <rPr>
        <sz val="9"/>
        <color theme="1"/>
        <rFont val="Arial Black"/>
        <family val="2"/>
      </rPr>
      <t xml:space="preserve">+ </t>
    </r>
    <r>
      <rPr>
        <sz val="9"/>
        <color theme="1"/>
        <rFont val="Palladio Uralic"/>
      </rPr>
      <t>5)</t>
    </r>
  </si>
  <si>
    <t>Distribution and selling costs (11% of manufacturing cost)</t>
  </si>
  <si>
    <t>TOTAL PRODUCT COST</t>
  </si>
  <si>
    <r>
      <t xml:space="preserve">C </t>
    </r>
    <r>
      <rPr>
        <sz val="9"/>
        <color theme="1"/>
        <rFont val="Arial Black"/>
        <family val="2"/>
      </rPr>
      <t xml:space="preserve">+ </t>
    </r>
    <r>
      <rPr>
        <b/>
        <sz val="9"/>
        <color theme="1"/>
        <rFont val="Palladio Uralic"/>
      </rPr>
      <t>D</t>
    </r>
  </si>
  <si>
    <t>Description</t>
  </si>
  <si>
    <t>Construction period</t>
  </si>
  <si>
    <t>Operating Period</t>
  </si>
  <si>
    <t>Cash-In flow</t>
  </si>
  <si>
    <t>Operating Revenue</t>
  </si>
  <si>
    <t>Inventory</t>
  </si>
  <si>
    <t>Cash Outflow</t>
  </si>
  <si>
    <t>Main Investment</t>
  </si>
  <si>
    <t>Operating Cost</t>
  </si>
  <si>
    <t>Total Operating Cost</t>
  </si>
  <si>
    <t>Gross Margin</t>
  </si>
  <si>
    <t>Depreciation</t>
  </si>
  <si>
    <t>Net Cash Flow</t>
  </si>
  <si>
    <t>NPV@12%</t>
  </si>
  <si>
    <t>IRR</t>
  </si>
  <si>
    <t>Caustic Preparation Solution Tank (48% Caustic)</t>
  </si>
  <si>
    <t>Caustic transfer pump</t>
  </si>
  <si>
    <t>ECH Storage Tank</t>
  </si>
  <si>
    <t>ECH Transfer Pump</t>
  </si>
  <si>
    <t>Pre-Reactor</t>
  </si>
  <si>
    <t>Reaction solution Transfer pump</t>
  </si>
  <si>
    <t xml:space="preserve">Reactor </t>
  </si>
  <si>
    <t>Reaction solution Transfer pump 2</t>
  </si>
  <si>
    <t>Distillation Tower for ECH</t>
  </si>
  <si>
    <t>Solvent Storage Tank (Toluene)</t>
  </si>
  <si>
    <t>Solvent transfer pump</t>
  </si>
  <si>
    <t>Washing Tower</t>
  </si>
  <si>
    <t>Gravity Separator</t>
  </si>
  <si>
    <t>Soln Transfer pump</t>
  </si>
  <si>
    <t>Ditillation Tower for Toluene Recovery</t>
  </si>
  <si>
    <t>Soln Transfer pump 2</t>
  </si>
  <si>
    <t>Mixing Tank</t>
  </si>
  <si>
    <t>Product Tank</t>
  </si>
  <si>
    <t>UF/RO System</t>
  </si>
  <si>
    <t>Evaporator (Thin Evaporator &amp; Rotary film thin evaporator) </t>
  </si>
  <si>
    <t>Cooling Tower</t>
  </si>
  <si>
    <t>DG’s, Generator’s</t>
  </si>
  <si>
    <t>DCS System (Instrumentation Item)</t>
  </si>
  <si>
    <t>Equipment list for SER</t>
  </si>
  <si>
    <t>LER Storage tank</t>
  </si>
  <si>
    <t>Remarks</t>
  </si>
  <si>
    <t>Xylene Storage Tank</t>
  </si>
  <si>
    <t>2 Process pump &amp; 2 Standby</t>
  </si>
  <si>
    <t>Feed Pump</t>
  </si>
  <si>
    <t>150m3, SS304</t>
  </si>
  <si>
    <t>Weighing Tank</t>
  </si>
  <si>
    <t>Hoist</t>
  </si>
  <si>
    <t>BPA Hopper</t>
  </si>
  <si>
    <t>Resin Hopper</t>
  </si>
  <si>
    <t>Raw material Hopper</t>
  </si>
  <si>
    <t>BPA Dust Collector</t>
  </si>
  <si>
    <t>Resin hopper</t>
  </si>
  <si>
    <t>Dust Collector</t>
  </si>
  <si>
    <t>Cut Tank</t>
  </si>
  <si>
    <t>Product filter</t>
  </si>
  <si>
    <t>Circle Feeder</t>
  </si>
  <si>
    <t>Crusher</t>
  </si>
  <si>
    <t>Product Dust Collector</t>
  </si>
  <si>
    <t>Product Filter</t>
  </si>
  <si>
    <t>7m2, SS304</t>
  </si>
  <si>
    <t>3-4 Ton/hr, SS304</t>
  </si>
  <si>
    <t>0.2m3, SS304</t>
  </si>
  <si>
    <t>Flaker hopper</t>
  </si>
  <si>
    <t>4,000kg/hr, SS 304</t>
  </si>
  <si>
    <t>4500kg/hr, SS304</t>
  </si>
  <si>
    <t>400 KV</t>
  </si>
  <si>
    <t>Research and development costs (7% of manufacturing cost)</t>
  </si>
  <si>
    <t>Interest on Short term loan (If any)</t>
  </si>
  <si>
    <t>Maintenance and repairs (7% of fixed-capital investment)</t>
  </si>
  <si>
    <t>All Amount in USD</t>
  </si>
  <si>
    <t>Variable</t>
  </si>
  <si>
    <t>Fixed</t>
  </si>
  <si>
    <t>Rate Of Return</t>
  </si>
  <si>
    <t>ETP Plant</t>
  </si>
  <si>
    <t>800 KD</t>
  </si>
  <si>
    <t>Investment</t>
  </si>
  <si>
    <t>Total Investment</t>
  </si>
  <si>
    <t>Total Cash - Inflow (2+3)</t>
  </si>
  <si>
    <t>Raw Material Cost</t>
  </si>
  <si>
    <t>Labour</t>
  </si>
  <si>
    <t>Raw Material Variable</t>
  </si>
  <si>
    <t>INR</t>
  </si>
  <si>
    <t>Annual Variable Cost (Utility, packaging &amp; selling, Distribution cost)</t>
  </si>
  <si>
    <t>Labour Cost (Operating &amp; Supervisionary labour)</t>
  </si>
  <si>
    <t>Annual Fixed Cost ()</t>
  </si>
  <si>
    <t>Packaging Cost(5% of manufacturing cost)</t>
  </si>
  <si>
    <t>Taxes (%)</t>
  </si>
  <si>
    <t>Category</t>
  </si>
  <si>
    <t>Present Value Factor</t>
  </si>
  <si>
    <t xml:space="preserve">Cumulative Cash Flows </t>
  </si>
  <si>
    <t xml:space="preserve">Pay Back Period </t>
  </si>
  <si>
    <t>Present values</t>
  </si>
  <si>
    <t>Accounts Receivable</t>
  </si>
  <si>
    <t>DSO</t>
  </si>
  <si>
    <t>Days</t>
  </si>
  <si>
    <t>Change in sales/ mth.</t>
  </si>
  <si>
    <t>Change in AR</t>
  </si>
  <si>
    <t>Inventory (Impact of COGS change)</t>
  </si>
  <si>
    <t>DIO (Days Inventory)</t>
  </si>
  <si>
    <t>Change in COGS/ mth.</t>
  </si>
  <si>
    <t>Change in Inv.</t>
  </si>
  <si>
    <t>Accounts Payable</t>
  </si>
  <si>
    <t>DPO</t>
  </si>
  <si>
    <t>Change in payables/ mth.</t>
  </si>
  <si>
    <t>60% of 42 KTA</t>
  </si>
  <si>
    <t>80% of 42 KTA</t>
  </si>
  <si>
    <t>95% of 42 KTA</t>
  </si>
  <si>
    <t>70% of 84 KTA</t>
  </si>
  <si>
    <t>80% of 84 KTA</t>
  </si>
  <si>
    <t>90% of 84 KTA</t>
  </si>
  <si>
    <t>- Qty.</t>
  </si>
  <si>
    <t>-Rate</t>
  </si>
  <si>
    <t>Working Capital Change:</t>
  </si>
  <si>
    <t>Accounts Receivables</t>
  </si>
  <si>
    <t>Accounts Payables</t>
  </si>
  <si>
    <t>95%84 KT</t>
  </si>
  <si>
    <t>Gross Profit</t>
  </si>
  <si>
    <t>Operating Cost :</t>
  </si>
  <si>
    <t xml:space="preserve">Labour </t>
  </si>
  <si>
    <t>Variable Overheads</t>
  </si>
  <si>
    <t>Fixed Overheads</t>
  </si>
  <si>
    <t>Selling Overheads</t>
  </si>
  <si>
    <t>Taxes</t>
  </si>
  <si>
    <t>Discounted Cash Flow</t>
  </si>
  <si>
    <t>Undiscounted Cash Flow</t>
  </si>
  <si>
    <t>Cummulative Cash Flow</t>
  </si>
  <si>
    <t>NPV</t>
  </si>
  <si>
    <t>Payback Period</t>
  </si>
  <si>
    <t xml:space="preserve">Raw materials </t>
  </si>
  <si>
    <t>C4</t>
  </si>
  <si>
    <t>Total  Production Cost</t>
  </si>
  <si>
    <t>CAPACITY &amp; MOC</t>
  </si>
  <si>
    <t>Qty</t>
  </si>
  <si>
    <t>m3, SS304</t>
  </si>
  <si>
    <t>m3,PP</t>
  </si>
  <si>
    <t>m3/hr,PP</t>
  </si>
  <si>
    <t>m3/hr, SS304</t>
  </si>
  <si>
    <t xml:space="preserve">For more no of grade, Reactor will be increased accordingly </t>
  </si>
  <si>
    <t>-Rate (LER)</t>
  </si>
  <si>
    <t xml:space="preserve">Utilities (calculated) </t>
  </si>
  <si>
    <t>Catalyst &amp; Chemicals</t>
  </si>
  <si>
    <t>Research and development costs (2% of manufacturing cost)</t>
  </si>
  <si>
    <t>Packaging Cost (calculated)</t>
  </si>
  <si>
    <t>Salaries &amp; Wages (calculated)</t>
  </si>
  <si>
    <t>Distribution and selling costs (10% of manufacturing cost)</t>
  </si>
  <si>
    <t>Maintenance and repairs (2.5% of fixed-capital investment)</t>
  </si>
  <si>
    <t>Tohto Kesai</t>
  </si>
  <si>
    <t>CIBA</t>
  </si>
  <si>
    <t>[USD Million]</t>
  </si>
  <si>
    <t>Indigenous</t>
  </si>
  <si>
    <t> 1 Standby &amp; 1 working</t>
  </si>
  <si>
    <t>BPA Hopper (if Solid)</t>
  </si>
  <si>
    <t>BPA  Hopper (if Solid)</t>
  </si>
  <si>
    <t>Auxiliary</t>
  </si>
  <si>
    <t xml:space="preserve">Pre-Reactor </t>
  </si>
  <si>
    <t>Not Required</t>
  </si>
  <si>
    <t>1 Standby &amp; 1 working</t>
  </si>
  <si>
    <t xml:space="preserve"> Filter</t>
  </si>
  <si>
    <t>m2, SS304</t>
  </si>
  <si>
    <t>375m3, SS304</t>
  </si>
  <si>
    <t>110m3, SS304</t>
  </si>
  <si>
    <t>Condenser</t>
  </si>
  <si>
    <t>18m3/hr, SS304</t>
  </si>
  <si>
    <t>14m3, SS304</t>
  </si>
  <si>
    <t>08-12m3, SS304</t>
  </si>
  <si>
    <t>15 m3, SS304/CS</t>
  </si>
  <si>
    <t>1.2m3, SS304</t>
  </si>
  <si>
    <t>7.5m2, SS304</t>
  </si>
  <si>
    <t>15m3, SS304</t>
  </si>
  <si>
    <t>25m3, CS</t>
  </si>
  <si>
    <t>16m3, SS304</t>
  </si>
  <si>
    <t>17m3, SS304</t>
  </si>
  <si>
    <t>25m2, SS304</t>
  </si>
  <si>
    <t>15m3/hr, SS304</t>
  </si>
  <si>
    <t>7.5 ton/hr, SS 304</t>
  </si>
  <si>
    <t xml:space="preserve">Packer </t>
  </si>
  <si>
    <t>Packer</t>
  </si>
  <si>
    <t>40m3/hr, SS314</t>
  </si>
  <si>
    <t>Vent Condenser</t>
  </si>
  <si>
    <t>6m2, SS304</t>
  </si>
  <si>
    <t>Others</t>
  </si>
  <si>
    <t>TOTAL CAPITAL INVESTMENT (A+B)</t>
  </si>
  <si>
    <t>1.1.</t>
  </si>
  <si>
    <t>Assumptions and Findings</t>
  </si>
  <si>
    <r>
      <t>1.</t>
    </r>
    <r>
      <rPr>
        <sz val="7"/>
        <color theme="1"/>
        <rFont val="Times New Roman"/>
        <family val="1"/>
      </rPr>
      <t xml:space="preserve">     </t>
    </r>
    <r>
      <rPr>
        <sz val="10"/>
        <color theme="1"/>
        <rFont val="Arial"/>
        <family val="2"/>
      </rPr>
      <t>Solvent recovery in CIBA Technology is quite better than that of Tohto Kesai</t>
    </r>
  </si>
  <si>
    <r>
      <t>2.</t>
    </r>
    <r>
      <rPr>
        <sz val="7"/>
        <color theme="1"/>
        <rFont val="Times New Roman"/>
        <family val="1"/>
      </rPr>
      <t xml:space="preserve">     </t>
    </r>
    <r>
      <rPr>
        <sz val="10"/>
        <color theme="1"/>
        <rFont val="Arial"/>
        <family val="2"/>
      </rPr>
      <t>Catalyst &amp; Chemical cost is higher in Tohto Kesai.</t>
    </r>
  </si>
  <si>
    <r>
      <t>3.</t>
    </r>
    <r>
      <rPr>
        <sz val="7"/>
        <color theme="1"/>
        <rFont val="Times New Roman"/>
        <family val="1"/>
      </rPr>
      <t xml:space="preserve">     </t>
    </r>
    <r>
      <rPr>
        <sz val="10"/>
        <color theme="1"/>
        <rFont val="Arial"/>
        <family val="2"/>
      </rPr>
      <t>Prices of raw material and catalyst for both licensors are moving monthly average of ApReliance Industries Ltd 2019-March 2021 and for liquid epoxy resin.</t>
    </r>
  </si>
  <si>
    <r>
      <t>4.</t>
    </r>
    <r>
      <rPr>
        <sz val="7"/>
        <color theme="1"/>
        <rFont val="Times New Roman"/>
        <family val="1"/>
      </rPr>
      <t xml:space="preserve">     </t>
    </r>
    <r>
      <rPr>
        <sz val="10"/>
        <color theme="1"/>
        <rFont val="Arial"/>
        <family val="2"/>
      </rPr>
      <t>The cost of power used by the plant considered as INR5.50 per kWh. Further, the companies interviewed were grid connected for their power requirements. Tariff of electricity was derived from public documents of manufacturers and power distribution companies.</t>
    </r>
  </si>
  <si>
    <r>
      <t>5.</t>
    </r>
    <r>
      <rPr>
        <sz val="7"/>
        <color theme="1"/>
        <rFont val="Times New Roman"/>
        <family val="1"/>
      </rPr>
      <t xml:space="preserve">     </t>
    </r>
    <r>
      <rPr>
        <sz val="10"/>
        <color theme="1"/>
        <rFont val="Arial"/>
        <family val="2"/>
      </rPr>
      <t>The other utilities mainly include raw water, and its cost has been taken as INR1.25 per m3</t>
    </r>
  </si>
  <si>
    <r>
      <t>6.</t>
    </r>
    <r>
      <rPr>
        <sz val="7"/>
        <color theme="1"/>
        <rFont val="Times New Roman"/>
        <family val="1"/>
      </rPr>
      <t xml:space="preserve">     </t>
    </r>
    <r>
      <rPr>
        <sz val="10"/>
        <color theme="1"/>
        <rFont val="Arial"/>
        <family val="2"/>
      </rPr>
      <t xml:space="preserve">Per kg costs for the fixed items are calculated based on primary research. Further, Repair and maintenance cost is 2.5% of plant &amp; machinery cost. Interest on working capital is around 10% and depreciation has been calculated based on 10 years. </t>
    </r>
  </si>
  <si>
    <t>* Cost of Capital will be assumed as 10%</t>
  </si>
  <si>
    <t>*Taxe rate will be assumed  as 30%</t>
  </si>
  <si>
    <t>*Amortization will be presumed to be in next 10 years on equal basis.</t>
  </si>
  <si>
    <t xml:space="preserve">Capacity </t>
  </si>
  <si>
    <t>* Operating Revenue will be  bifurcated between :-</t>
  </si>
  <si>
    <t>Total Capacity</t>
  </si>
  <si>
    <t>50 % will be installed initially in first year ,Later 50 % will be installed in fifth year .</t>
  </si>
  <si>
    <t>* Capacity will be Installed in two phases:-</t>
  </si>
  <si>
    <t>*Inentory will be taken as of 30 Days.</t>
  </si>
  <si>
    <t>*Accounts Receivables will be taken as of 60 Days.</t>
  </si>
  <si>
    <t>*Accounts Payables will be taken as of 60 Days.</t>
  </si>
  <si>
    <t>-Rate (SER - Solid)</t>
  </si>
  <si>
    <t>-Rate (Semi Solid)</t>
  </si>
  <si>
    <t>Cost of Capital (10%)</t>
  </si>
  <si>
    <t xml:space="preserve">                           Licensed   Capacity 840000 Tonnes</t>
  </si>
  <si>
    <t>LER</t>
  </si>
  <si>
    <t>Solid Epoxy Resin</t>
  </si>
  <si>
    <t>Semi Solid and Specialized Epoxy Resin</t>
  </si>
  <si>
    <t>ITEM (Solid Epoxy Resin)</t>
  </si>
  <si>
    <t>MEE/MVR</t>
  </si>
  <si>
    <t>ITEM (Liquid Epoxy Resin)</t>
  </si>
  <si>
    <t>ITEM (Specialized Epoxy Resin</t>
  </si>
  <si>
    <t>D4+D7+D9+D12</t>
  </si>
  <si>
    <t>D3+D16</t>
  </si>
  <si>
    <t>D3 + D16</t>
  </si>
  <si>
    <t>D24+D27</t>
  </si>
  <si>
    <t>- Qty (LER)</t>
  </si>
  <si>
    <t>- Qty (Solid)</t>
  </si>
  <si>
    <t>- Qty. (Semi - Solid)</t>
  </si>
  <si>
    <t>- Qty. (Specialized)</t>
  </si>
  <si>
    <t>-Rate (Specialized)</t>
  </si>
  <si>
    <t>1st year raw material prices are weighted average of CFR JNPT price during July 2018 to November 2021</t>
  </si>
  <si>
    <t xml:space="preserve"> (25 Kg, 100 Kg, 200Kg, 500 Kg /bag,), SS 304</t>
  </si>
  <si>
    <t xml:space="preserve"> (25 Kg, 100 Kg, 200Kg, 500 Kg /bag,) SS 304</t>
  </si>
  <si>
    <t>Warehouse</t>
  </si>
  <si>
    <t>1.8 Acre</t>
  </si>
  <si>
    <t>Final Total (1.1+1.2+ 1.3+1.4)</t>
  </si>
  <si>
    <t>CIBA Technology</t>
  </si>
  <si>
    <t>From entire 84 KTPA Capacity</t>
  </si>
  <si>
    <t>Cost Estimation</t>
  </si>
  <si>
    <t>No of Emplyees</t>
  </si>
  <si>
    <t>Top Level</t>
  </si>
  <si>
    <t>Senior level Management</t>
  </si>
  <si>
    <t>Mid Level Management</t>
  </si>
  <si>
    <t>Initial level</t>
  </si>
  <si>
    <t xml:space="preserve">Blue collar </t>
  </si>
  <si>
    <t>Contracutal, Skilled &amp; Unskilled Worker</t>
  </si>
  <si>
    <t>Total Salary &amp; Wages (Lakh)</t>
  </si>
  <si>
    <t>Total Salary &amp; Wages (USD Million)</t>
  </si>
  <si>
    <t>Salary in Lakh</t>
  </si>
  <si>
    <t>Please refer salary and wages estimation</t>
  </si>
  <si>
    <t>ITEM (Semi Solid)</t>
  </si>
  <si>
    <t>Packaging Cost</t>
  </si>
  <si>
    <t>Calculated =USD 4.8 million</t>
  </si>
  <si>
    <t xml:space="preserve">Plant Overhead Costs </t>
  </si>
  <si>
    <t xml:space="preserve">Maintenance and repairs </t>
  </si>
  <si>
    <t xml:space="preserve">Administrative costs </t>
  </si>
  <si>
    <t>Distribution and selling costs</t>
  </si>
  <si>
    <t xml:space="preserve">Research and development costs </t>
  </si>
  <si>
    <r>
      <t xml:space="preserve">Plant Overhead Costs (45% of </t>
    </r>
    <r>
      <rPr>
        <sz val="9"/>
        <rFont val="Arial Black"/>
        <family val="2"/>
      </rPr>
      <t xml:space="preserve"> </t>
    </r>
    <r>
      <rPr>
        <sz val="9"/>
        <rFont val="Palladio Uralic"/>
      </rPr>
      <t>3 + 6)</t>
    </r>
  </si>
  <si>
    <t>Administrative costs (10% of 3 + 6)</t>
  </si>
  <si>
    <t>Total  Production Cost (USD Per Tonne)</t>
  </si>
  <si>
    <t>Semi Solid Opex (100% Basis - 6000 KTPA Capacity)</t>
  </si>
  <si>
    <t>Solid Epoxy Resin Opex (100% Basis -20000 KTPA Capacity)</t>
  </si>
  <si>
    <t>Liquid Epoxy Resin Opex (100% Basis -44000 KTPA Capacity)</t>
  </si>
  <si>
    <t>Specialized Epoxy Resin Opex (100% Basis - 14000 KTPA Capacity)</t>
  </si>
  <si>
    <t>Per Tonne Cost ranges from USD 97-102 per tonnes</t>
  </si>
  <si>
    <t>Per Tonne Cost ranges from USD 95-100 per tonnes</t>
  </si>
  <si>
    <t>PARAMETERS</t>
  </si>
  <si>
    <t>COST OF PRODUCTION: Solid Epoxy Resin (LER Captive)</t>
  </si>
  <si>
    <t>Quantity</t>
  </si>
  <si>
    <t>Amount</t>
  </si>
  <si>
    <t>Tonne</t>
  </si>
  <si>
    <t>USD/Tonne</t>
  </si>
  <si>
    <t>USD</t>
  </si>
  <si>
    <t>VARIABLE COST</t>
  </si>
  <si>
    <t xml:space="preserve">Raw Materials </t>
  </si>
  <si>
    <t>Liquid Epoxy Resin</t>
  </si>
  <si>
    <t>BisPhenol A</t>
  </si>
  <si>
    <t>Caustic Soda</t>
  </si>
  <si>
    <t>Sub-Total (1)</t>
  </si>
  <si>
    <r>
      <t>Utility</t>
    </r>
    <r>
      <rPr>
        <sz val="8"/>
        <color rgb="FF000000"/>
        <rFont val="Calibri"/>
        <family val="2"/>
        <scheme val="minor"/>
      </rPr>
      <t>  </t>
    </r>
  </si>
  <si>
    <r>
      <t>Catalyst &amp; Solvent</t>
    </r>
    <r>
      <rPr>
        <sz val="8"/>
        <color rgb="FF000000"/>
        <rFont val="Calibri"/>
        <family val="2"/>
        <scheme val="minor"/>
      </rPr>
      <t>  </t>
    </r>
  </si>
  <si>
    <t>Labor</t>
  </si>
  <si>
    <t>Miscellaneous (R &amp; D and Selling &amp; Transportation, packaging)</t>
  </si>
  <si>
    <t>TOTAL VARIABLE COST</t>
  </si>
  <si>
    <t>FIXED COST</t>
  </si>
  <si>
    <t>Plant-Overhead Costs</t>
  </si>
  <si>
    <t>Total Fixed Cost</t>
  </si>
  <si>
    <t>Total Production Cost</t>
  </si>
  <si>
    <r>
      <t> </t>
    </r>
    <r>
      <rPr>
        <sz val="10"/>
        <color rgb="FF000000"/>
        <rFont val="Calibri"/>
        <family val="2"/>
      </rPr>
      <t>Please mention approximate specific consumptions</t>
    </r>
  </si>
  <si>
    <r>
      <t> </t>
    </r>
    <r>
      <rPr>
        <sz val="10"/>
        <color rgb="FF000000"/>
        <rFont val="Calibri"/>
        <family val="2"/>
      </rPr>
      <t>Modified. 1.9 MW of power consumption considered.</t>
    </r>
  </si>
  <si>
    <r>
      <t> </t>
    </r>
    <r>
      <rPr>
        <sz val="10"/>
        <color rgb="FF000000"/>
        <rFont val="Calibri"/>
        <family val="2"/>
      </rPr>
      <t>Modified.</t>
    </r>
  </si>
  <si>
    <r>
      <t>Catalyst &amp; Solvent</t>
    </r>
    <r>
      <rPr>
        <sz val="8"/>
        <rFont val="Calibri"/>
        <family val="2"/>
        <scheme val="minor"/>
      </rPr>
      <t>  </t>
    </r>
  </si>
  <si>
    <r>
      <t>Utility</t>
    </r>
    <r>
      <rPr>
        <sz val="8"/>
        <rFont val="Calibri"/>
        <family val="2"/>
        <scheme val="minor"/>
      </rPr>
      <t>  </t>
    </r>
  </si>
  <si>
    <t>Epichlorohydrin</t>
  </si>
  <si>
    <t>Bisphenol A</t>
  </si>
  <si>
    <t>COST OF PRODUCTION: Technology 2 (Tohto Kesai)</t>
  </si>
  <si>
    <t>COST OF PRODUCTION: Technology 1 CIBA)</t>
  </si>
  <si>
    <t>Year</t>
  </si>
  <si>
    <t>Month</t>
  </si>
  <si>
    <t>January</t>
  </si>
  <si>
    <t>February</t>
  </si>
  <si>
    <t>March</t>
  </si>
  <si>
    <t>April</t>
  </si>
  <si>
    <t>May</t>
  </si>
  <si>
    <t>June</t>
  </si>
  <si>
    <t>July</t>
  </si>
  <si>
    <t>August</t>
  </si>
  <si>
    <t>September</t>
  </si>
  <si>
    <t>October</t>
  </si>
  <si>
    <t>November</t>
  </si>
  <si>
    <t>December</t>
  </si>
  <si>
    <t>Bisphenol A CFR JNPT</t>
  </si>
  <si>
    <t>Epichlorohydrin CFR JNPT</t>
  </si>
  <si>
    <t>Caustic Soda Lye Ex-JNPT</t>
  </si>
  <si>
    <t>Prices in USD/Tonne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</si>
</sst>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 #,##0.00_ ;_ * \-#,##0.00_ ;_ * &quot;-&quot;??_ ;_ @_ "/>
    <numFmt numFmtId="164" formatCode="_(* #,##0.00_);_(* \(#,##0.00\);_(* &quot;-&quot;??_);_(@_)"/>
    <numFmt numFmtId="165" formatCode="0.0"/>
    <numFmt numFmtId="166" formatCode="_ * #,##0_ ;_ * \-#,##0_ ;_ * &quot;-&quot;??_ ;_ @_ "/>
    <numFmt numFmtId="167" formatCode="_(* #,##0_);_(* \(#,##0\);_(* &quot;-&quot;??_);_(@_)"/>
    <numFmt numFmtId="168" formatCode="#,##0.000"/>
    <numFmt numFmtId="169" formatCode="0.000"/>
    <numFmt numFmtId="170" formatCode="0.000%"/>
    <numFmt numFmtId="171" formatCode="0.0000"/>
  </numFmts>
  <fonts count="40">
    <font>
      <sz val="11"/>
      <color theme="1"/>
      <name val="Calibri"/>
      <family val="2"/>
      <scheme val="minor"/>
    </font>
    <font>
      <sz val="11"/>
      <color theme="1"/>
      <name val="Calibri"/>
      <family val="2"/>
      <scheme val="minor"/>
    </font>
    <font>
      <b/>
      <sz val="11"/>
      <color theme="1"/>
      <name val="Calibri"/>
      <family val="2"/>
      <scheme val="minor"/>
    </font>
    <font>
      <sz val="11"/>
      <color theme="1"/>
      <name val="Palladio Uralic"/>
    </font>
    <font>
      <sz val="9"/>
      <color theme="1"/>
      <name val="Times New Roman"/>
      <family val="1"/>
    </font>
    <font>
      <b/>
      <sz val="9"/>
      <color theme="1"/>
      <name val="Palladio Uralic"/>
    </font>
    <font>
      <sz val="9"/>
      <color theme="1"/>
      <name val="Arial Black"/>
      <family val="2"/>
    </font>
    <font>
      <sz val="9"/>
      <color theme="1"/>
      <name val="Palladio Uralic"/>
    </font>
    <font>
      <sz val="10"/>
      <color theme="1"/>
      <name val="Palladio Uralic"/>
    </font>
    <font>
      <u/>
      <sz val="11"/>
      <color theme="10"/>
      <name val="Calibri"/>
      <family val="2"/>
      <scheme val="minor"/>
    </font>
    <font>
      <sz val="8"/>
      <color rgb="FF000000"/>
      <name val="Calibri"/>
      <family val="2"/>
    </font>
    <font>
      <b/>
      <sz val="8"/>
      <color rgb="FF000000"/>
      <name val="Times New Roman"/>
      <family val="1"/>
    </font>
    <font>
      <sz val="11"/>
      <color rgb="FF000000"/>
      <name val="Calibri"/>
      <family val="2"/>
      <scheme val="minor"/>
    </font>
    <font>
      <b/>
      <sz val="11"/>
      <color rgb="FF000000"/>
      <name val="Calibri"/>
      <family val="2"/>
      <scheme val="minor"/>
    </font>
    <font>
      <sz val="9"/>
      <color indexed="81"/>
      <name val="Tahoma"/>
      <family val="2"/>
    </font>
    <font>
      <b/>
      <sz val="9"/>
      <color indexed="81"/>
      <name val="Tahoma"/>
      <family val="2"/>
    </font>
    <font>
      <b/>
      <sz val="11"/>
      <color theme="0"/>
      <name val="Calibri"/>
      <family val="2"/>
      <scheme val="minor"/>
    </font>
    <font>
      <sz val="11"/>
      <color theme="0"/>
      <name val="Calibri"/>
      <family val="2"/>
      <scheme val="minor"/>
    </font>
    <font>
      <b/>
      <sz val="10"/>
      <name val="Arial"/>
      <family val="2"/>
    </font>
    <font>
      <sz val="10"/>
      <name val="Arial"/>
      <family val="2"/>
    </font>
    <font>
      <b/>
      <sz val="11"/>
      <name val="Calibri"/>
      <family val="2"/>
      <scheme val="minor"/>
    </font>
    <font>
      <b/>
      <i/>
      <sz val="11"/>
      <color rgb="FF000000"/>
      <name val="Calibri"/>
      <family val="2"/>
      <scheme val="minor"/>
    </font>
    <font>
      <b/>
      <sz val="9"/>
      <color rgb="FFFF0000"/>
      <name val="Palladio Uralic"/>
    </font>
    <font>
      <sz val="9"/>
      <color rgb="FFFF0000"/>
      <name val="Palladio Uralic"/>
    </font>
    <font>
      <b/>
      <sz val="12"/>
      <color theme="1"/>
      <name val="Arial"/>
      <family val="2"/>
    </font>
    <font>
      <sz val="9"/>
      <name val="Palladio Uralic"/>
    </font>
    <font>
      <sz val="9"/>
      <name val="Arial Black"/>
      <family val="2"/>
    </font>
    <font>
      <b/>
      <sz val="9"/>
      <name val="Palladio Uralic"/>
    </font>
    <font>
      <b/>
      <i/>
      <u/>
      <sz val="11"/>
      <color theme="1"/>
      <name val="Arial"/>
      <family val="2"/>
    </font>
    <font>
      <sz val="10"/>
      <color theme="1"/>
      <name val="Arial"/>
      <family val="2"/>
    </font>
    <font>
      <sz val="7"/>
      <color theme="1"/>
      <name val="Times New Roman"/>
      <family val="1"/>
    </font>
    <font>
      <sz val="10"/>
      <color theme="0"/>
      <name val="Arial"/>
      <family val="2"/>
    </font>
    <font>
      <b/>
      <sz val="10"/>
      <color rgb="FF000000"/>
      <name val="Arial"/>
      <family val="2"/>
    </font>
    <font>
      <sz val="10"/>
      <color rgb="FF000000"/>
      <name val="Arial"/>
      <family val="2"/>
    </font>
    <font>
      <sz val="8"/>
      <color rgb="FF000000"/>
      <name val="Calibri"/>
      <family val="2"/>
      <scheme val="minor"/>
    </font>
    <font>
      <sz val="11"/>
      <name val="Calibri"/>
      <family val="2"/>
      <scheme val="minor"/>
    </font>
    <font>
      <sz val="10"/>
      <color rgb="FF000000"/>
      <name val="Calibri"/>
      <family val="2"/>
    </font>
    <font>
      <sz val="8"/>
      <name val="Calibri"/>
      <family val="2"/>
      <scheme val="minor"/>
    </font>
    <font>
      <sz val="9"/>
      <name val="Calibri"/>
      <family val="2"/>
      <scheme val="minor"/>
    </font>
    <font>
      <sz val="9"/>
      <name val="Times New Roman"/>
      <family val="1"/>
    </font>
  </fonts>
  <fills count="32">
    <fill>
      <patternFill patternType="none"/>
    </fill>
    <fill>
      <patternFill patternType="gray125"/>
    </fill>
    <fill>
      <patternFill patternType="solid">
        <fgColor rgb="FFFFFF00"/>
        <bgColor indexed="64"/>
      </patternFill>
    </fill>
    <fill>
      <patternFill patternType="solid">
        <fgColor rgb="FFFF0000"/>
        <bgColor indexed="64"/>
      </patternFill>
    </fill>
    <fill>
      <patternFill patternType="solid">
        <fgColor theme="4" tint="0.39997558519241921"/>
        <bgColor indexed="64"/>
      </patternFill>
    </fill>
    <fill>
      <patternFill patternType="solid">
        <fgColor theme="2" tint="-9.9978637043366805E-2"/>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4"/>
      </patternFill>
    </fill>
    <fill>
      <patternFill patternType="solid">
        <fgColor theme="7" tint="-0.499984740745262"/>
        <bgColor indexed="64"/>
      </patternFill>
    </fill>
    <fill>
      <patternFill patternType="solid">
        <fgColor theme="5" tint="-0.499984740745262"/>
        <bgColor indexed="64"/>
      </patternFill>
    </fill>
    <fill>
      <patternFill patternType="solid">
        <fgColor rgb="FFFFC000"/>
        <bgColor indexed="64"/>
      </patternFill>
    </fill>
    <fill>
      <patternFill patternType="solid">
        <fgColor indexed="9"/>
        <bgColor indexed="64"/>
      </patternFill>
    </fill>
    <fill>
      <patternFill patternType="solid">
        <fgColor theme="8"/>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rgb="FFC6E0B4"/>
        <bgColor indexed="64"/>
      </patternFill>
    </fill>
    <fill>
      <patternFill patternType="solid">
        <fgColor rgb="FFFFFFFF"/>
        <bgColor indexed="64"/>
      </patternFill>
    </fill>
    <fill>
      <patternFill patternType="solid">
        <fgColor rgb="FF9CC2E5"/>
        <bgColor indexed="64"/>
      </patternFill>
    </fill>
    <fill>
      <patternFill patternType="solid">
        <fgColor rgb="FF7030A0"/>
        <bgColor indexed="64"/>
      </patternFill>
    </fill>
    <fill>
      <patternFill patternType="solid">
        <fgColor theme="6" tint="0.79998168889431442"/>
        <bgColor indexed="64"/>
      </patternFill>
    </fill>
    <fill>
      <patternFill patternType="solid">
        <fgColor rgb="FF9BC2E6"/>
        <bgColor indexed="64"/>
      </patternFill>
    </fill>
    <fill>
      <patternFill patternType="solid">
        <fgColor rgb="FFF8CBAD"/>
        <bgColor indexed="64"/>
      </patternFill>
    </fill>
    <fill>
      <patternFill patternType="solid">
        <fgColor rgb="FFFCE4D6"/>
        <bgColor indexed="64"/>
      </patternFill>
    </fill>
    <fill>
      <patternFill patternType="solid">
        <fgColor rgb="FFFFD966"/>
        <bgColor indexed="64"/>
      </patternFill>
    </fill>
    <fill>
      <patternFill patternType="solid">
        <fgColor rgb="FFE7E6E6"/>
        <bgColor indexed="64"/>
      </patternFill>
    </fill>
    <fill>
      <patternFill patternType="solid">
        <fgColor rgb="FFFFF2CC"/>
        <bgColor indexed="64"/>
      </patternFill>
    </fill>
    <fill>
      <patternFill patternType="solid">
        <fgColor rgb="FFBF8F00"/>
        <bgColor indexed="64"/>
      </patternFill>
    </fill>
    <fill>
      <patternFill patternType="solid">
        <fgColor theme="0"/>
        <bgColor indexed="64"/>
      </patternFill>
    </fill>
  </fills>
  <borders count="59">
    <border>
      <left/>
      <right/>
      <top/>
      <bottom/>
      <diagonal/>
    </border>
    <border>
      <left style="thin">
        <color indexed="64"/>
      </left>
      <right style="thin">
        <color indexed="64"/>
      </right>
      <top style="thin">
        <color indexed="64"/>
      </top>
      <bottom style="thin">
        <color indexed="64"/>
      </bottom>
      <diagonal/>
    </border>
    <border>
      <left/>
      <right/>
      <top style="medium">
        <color rgb="FF000000"/>
      </top>
      <bottom style="medium">
        <color rgb="FF000000"/>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medium">
        <color indexed="64"/>
      </left>
      <right style="thin">
        <color indexed="64"/>
      </right>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right/>
      <top/>
      <bottom style="medium">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bottom/>
      <diagonal/>
    </border>
    <border>
      <left style="medium">
        <color indexed="64"/>
      </left>
      <right style="thin">
        <color indexed="64"/>
      </right>
      <top style="thin">
        <color indexed="64"/>
      </top>
      <bottom/>
      <diagonal/>
    </border>
    <border>
      <left style="medium">
        <color indexed="64"/>
      </left>
      <right style="thin">
        <color indexed="64"/>
      </right>
      <top/>
      <bottom style="thin">
        <color indexed="64"/>
      </bottom>
      <diagonal/>
    </border>
    <border>
      <left/>
      <right style="medium">
        <color rgb="FF000000"/>
      </right>
      <top style="medium">
        <color indexed="64"/>
      </top>
      <bottom/>
      <diagonal/>
    </border>
    <border>
      <left style="medium">
        <color rgb="FF000000"/>
      </left>
      <right/>
      <top style="medium">
        <color indexed="64"/>
      </top>
      <bottom/>
      <diagonal/>
    </border>
    <border>
      <left style="medium">
        <color indexed="64"/>
      </left>
      <right/>
      <top/>
      <bottom style="medium">
        <color rgb="FF000000"/>
      </bottom>
      <diagonal/>
    </border>
    <border>
      <left/>
      <right style="medium">
        <color rgb="FF000000"/>
      </right>
      <top/>
      <bottom style="medium">
        <color rgb="FF000000"/>
      </bottom>
      <diagonal/>
    </border>
    <border>
      <left style="medium">
        <color rgb="FF000000"/>
      </left>
      <right/>
      <top/>
      <bottom style="medium">
        <color rgb="FF000000"/>
      </bottom>
      <diagonal/>
    </border>
    <border>
      <left/>
      <right/>
      <top/>
      <bottom style="medium">
        <color rgb="FF000000"/>
      </bottom>
      <diagonal/>
    </border>
    <border>
      <left style="medium">
        <color indexed="64"/>
      </left>
      <right/>
      <top style="medium">
        <color rgb="FF000000"/>
      </top>
      <bottom/>
      <diagonal/>
    </border>
    <border>
      <left/>
      <right style="medium">
        <color rgb="FF000000"/>
      </right>
      <top style="medium">
        <color rgb="FF000000"/>
      </top>
      <bottom/>
      <diagonal/>
    </border>
    <border>
      <left/>
      <right style="medium">
        <color indexed="64"/>
      </right>
      <top/>
      <bottom/>
      <diagonal/>
    </border>
    <border>
      <left style="medium">
        <color indexed="64"/>
      </left>
      <right style="medium">
        <color indexed="64"/>
      </right>
      <top/>
      <bottom/>
      <diagonal/>
    </border>
    <border>
      <left style="medium">
        <color indexed="64"/>
      </left>
      <right style="medium">
        <color indexed="64"/>
      </right>
      <top/>
      <bottom style="medium">
        <color rgb="FF000000"/>
      </bottom>
      <diagonal/>
    </border>
    <border>
      <left/>
      <right style="medium">
        <color rgb="FF000000"/>
      </right>
      <top/>
      <bottom/>
      <diagonal/>
    </border>
    <border>
      <left style="medium">
        <color rgb="FF000000"/>
      </left>
      <right style="medium">
        <color indexed="64"/>
      </right>
      <top style="medium">
        <color indexed="64"/>
      </top>
      <bottom/>
      <diagonal/>
    </border>
    <border>
      <left style="medium">
        <color rgb="FF000000"/>
      </left>
      <right style="medium">
        <color indexed="64"/>
      </right>
      <top/>
      <bottom style="medium">
        <color indexed="64"/>
      </bottom>
      <diagonal/>
    </border>
    <border>
      <left/>
      <right style="medium">
        <color rgb="FF000000"/>
      </right>
      <top/>
      <bottom style="medium">
        <color indexed="64"/>
      </bottom>
      <diagonal/>
    </border>
    <border>
      <left style="medium">
        <color rgb="FF000000"/>
      </left>
      <right style="medium">
        <color indexed="64"/>
      </right>
      <top/>
      <bottom style="medium">
        <color rgb="FF000000"/>
      </bottom>
      <diagonal/>
    </border>
    <border>
      <left/>
      <right style="medium">
        <color rgb="FF000000"/>
      </right>
      <top style="medium">
        <color indexed="64"/>
      </top>
      <bottom style="medium">
        <color indexed="64"/>
      </bottom>
      <diagonal/>
    </border>
  </borders>
  <cellStyleXfs count="9">
    <xf numFmtId="0" fontId="0" fillId="0" borderId="0"/>
    <xf numFmtId="9" fontId="1" fillId="0" borderId="0" applyFont="0" applyFill="0" applyBorder="0" applyAlignment="0" applyProtection="0"/>
    <xf numFmtId="43" fontId="1" fillId="0" borderId="0" applyFont="0" applyFill="0" applyBorder="0" applyAlignment="0" applyProtection="0"/>
    <xf numFmtId="0" fontId="9" fillId="0" borderId="0" applyNumberFormat="0" applyFill="0" applyBorder="0" applyAlignment="0" applyProtection="0"/>
    <xf numFmtId="0" fontId="17" fillId="11" borderId="0" applyNumberFormat="0" applyBorder="0" applyAlignment="0" applyProtection="0"/>
    <xf numFmtId="164" fontId="1" fillId="0" borderId="0" applyFont="0" applyFill="0" applyBorder="0" applyAlignment="0" applyProtection="0"/>
    <xf numFmtId="43" fontId="1" fillId="0" borderId="0" applyFont="0" applyFill="0" applyBorder="0" applyAlignment="0" applyProtection="0"/>
    <xf numFmtId="0" fontId="19" fillId="0" borderId="0"/>
    <xf numFmtId="0" fontId="1" fillId="0" borderId="0"/>
  </cellStyleXfs>
  <cellXfs count="411">
    <xf numFmtId="0" fontId="0" fillId="0" borderId="0" xfId="0"/>
    <xf numFmtId="0" fontId="0" fillId="0" borderId="0" xfId="0" applyBorder="1"/>
    <xf numFmtId="0" fontId="0" fillId="0" borderId="1" xfId="0" applyBorder="1"/>
    <xf numFmtId="0" fontId="4" fillId="0" borderId="2" xfId="0" applyFont="1" applyBorder="1" applyAlignment="1">
      <alignment vertical="center" wrapText="1"/>
    </xf>
    <xf numFmtId="3" fontId="0" fillId="0" borderId="0" xfId="0" applyNumberFormat="1"/>
    <xf numFmtId="0" fontId="5" fillId="0" borderId="2" xfId="0" applyFont="1" applyBorder="1" applyAlignment="1">
      <alignment horizontal="left" vertical="center" wrapText="1" indent="1"/>
    </xf>
    <xf numFmtId="0" fontId="5" fillId="0" borderId="0" xfId="0" applyFont="1" applyAlignment="1">
      <alignment horizontal="center" vertical="center" wrapText="1"/>
    </xf>
    <xf numFmtId="0" fontId="5" fillId="0" borderId="0" xfId="0" applyFont="1" applyAlignment="1">
      <alignment horizontal="left" vertical="center" wrapText="1" indent="1"/>
    </xf>
    <xf numFmtId="0" fontId="8" fillId="0" borderId="0" xfId="0" applyFont="1" applyAlignment="1">
      <alignment vertical="center"/>
    </xf>
    <xf numFmtId="0" fontId="3" fillId="0" borderId="0" xfId="0" applyFont="1" applyAlignment="1">
      <alignment vertical="center"/>
    </xf>
    <xf numFmtId="0" fontId="5" fillId="0" borderId="2" xfId="0" applyFont="1" applyBorder="1" applyAlignment="1">
      <alignment horizontal="right" vertical="center" wrapText="1"/>
    </xf>
    <xf numFmtId="3" fontId="5" fillId="0" borderId="0" xfId="0" applyNumberFormat="1" applyFont="1" applyAlignment="1">
      <alignment horizontal="right" vertical="center" wrapText="1"/>
    </xf>
    <xf numFmtId="0" fontId="0" fillId="5" borderId="5" xfId="0" applyFill="1" applyBorder="1"/>
    <xf numFmtId="0" fontId="0" fillId="4" borderId="3" xfId="0" applyFill="1" applyBorder="1"/>
    <xf numFmtId="0" fontId="0" fillId="5" borderId="6" xfId="0" applyFill="1" applyBorder="1" applyAlignment="1">
      <alignment horizontal="center"/>
    </xf>
    <xf numFmtId="0" fontId="0" fillId="5" borderId="9" xfId="0" applyFill="1" applyBorder="1"/>
    <xf numFmtId="0" fontId="0" fillId="6" borderId="4" xfId="0" applyFill="1" applyBorder="1"/>
    <xf numFmtId="0" fontId="0" fillId="6" borderId="1" xfId="0" applyFill="1" applyBorder="1"/>
    <xf numFmtId="0" fontId="10" fillId="0" borderId="3" xfId="0" applyFont="1" applyBorder="1" applyAlignment="1">
      <alignment horizontal="center" vertical="center"/>
    </xf>
    <xf numFmtId="0" fontId="10" fillId="0" borderId="10" xfId="0" applyFont="1" applyBorder="1" applyAlignment="1">
      <alignment horizontal="center" vertical="center"/>
    </xf>
    <xf numFmtId="0" fontId="10" fillId="0" borderId="10" xfId="0" applyFont="1" applyBorder="1" applyAlignment="1">
      <alignment horizontal="center" vertical="center" wrapText="1"/>
    </xf>
    <xf numFmtId="0" fontId="10" fillId="0" borderId="11" xfId="0" applyFont="1" applyBorder="1" applyAlignment="1">
      <alignment vertical="center"/>
    </xf>
    <xf numFmtId="0" fontId="10" fillId="0" borderId="12" xfId="0" applyFont="1" applyBorder="1" applyAlignment="1">
      <alignment vertical="center"/>
    </xf>
    <xf numFmtId="0" fontId="10" fillId="0" borderId="12" xfId="0" applyFont="1" applyBorder="1" applyAlignment="1">
      <alignment vertical="center" wrapText="1"/>
    </xf>
    <xf numFmtId="0" fontId="10" fillId="0" borderId="12" xfId="0" applyFont="1" applyBorder="1" applyAlignment="1">
      <alignment horizontal="right" vertical="center" wrapText="1"/>
    </xf>
    <xf numFmtId="0" fontId="10" fillId="0" borderId="11" xfId="0" applyFont="1" applyBorder="1" applyAlignment="1">
      <alignment horizontal="right" vertical="center"/>
    </xf>
    <xf numFmtId="0" fontId="10" fillId="0" borderId="12" xfId="0" applyFont="1" applyBorder="1" applyAlignment="1">
      <alignment horizontal="right" vertical="center"/>
    </xf>
    <xf numFmtId="0" fontId="11" fillId="0" borderId="12" xfId="0" applyFont="1" applyBorder="1" applyAlignment="1">
      <alignment vertical="center"/>
    </xf>
    <xf numFmtId="0" fontId="11" fillId="0" borderId="12" xfId="0" applyFont="1" applyBorder="1" applyAlignment="1">
      <alignment horizontal="right" vertical="center" wrapText="1"/>
    </xf>
    <xf numFmtId="0" fontId="5" fillId="0" borderId="1" xfId="0" applyFont="1" applyBorder="1" applyAlignment="1">
      <alignment horizontal="center" vertical="center" wrapText="1"/>
    </xf>
    <xf numFmtId="0" fontId="5" fillId="0" borderId="1" xfId="0" applyFont="1" applyBorder="1" applyAlignment="1">
      <alignment horizontal="left" vertical="center" wrapText="1" indent="1"/>
    </xf>
    <xf numFmtId="0" fontId="7" fillId="0" borderId="1" xfId="0" applyFont="1" applyBorder="1" applyAlignment="1">
      <alignment horizontal="center" vertical="center" wrapText="1"/>
    </xf>
    <xf numFmtId="0" fontId="7" fillId="0" borderId="1" xfId="0" applyFont="1" applyBorder="1" applyAlignment="1">
      <alignment horizontal="left" vertical="center" wrapText="1" indent="1"/>
    </xf>
    <xf numFmtId="0" fontId="10" fillId="0" borderId="0" xfId="0" applyFont="1" applyFill="1" applyBorder="1" applyAlignment="1">
      <alignment horizontal="right" vertical="center"/>
    </xf>
    <xf numFmtId="0" fontId="2" fillId="6" borderId="1" xfId="0" applyFont="1" applyFill="1" applyBorder="1"/>
    <xf numFmtId="3" fontId="10" fillId="0" borderId="12" xfId="0" applyNumberFormat="1" applyFont="1" applyBorder="1" applyAlignment="1">
      <alignment horizontal="right" vertical="center"/>
    </xf>
    <xf numFmtId="0" fontId="7" fillId="7" borderId="1" xfId="0" applyFont="1" applyFill="1" applyBorder="1" applyAlignment="1">
      <alignment horizontal="center" vertical="center" wrapText="1"/>
    </xf>
    <xf numFmtId="0" fontId="7" fillId="7" borderId="1" xfId="0" applyFont="1" applyFill="1" applyBorder="1" applyAlignment="1">
      <alignment horizontal="left" vertical="center" wrapText="1" indent="1"/>
    </xf>
    <xf numFmtId="3" fontId="7" fillId="7" borderId="1" xfId="0" applyNumberFormat="1" applyFont="1" applyFill="1" applyBorder="1" applyAlignment="1">
      <alignment horizontal="right" vertical="center" wrapText="1"/>
    </xf>
    <xf numFmtId="3" fontId="7" fillId="0" borderId="1" xfId="0" applyNumberFormat="1" applyFont="1" applyBorder="1" applyAlignment="1">
      <alignment horizontal="right" vertical="center" wrapText="1"/>
    </xf>
    <xf numFmtId="10" fontId="7" fillId="0" borderId="1" xfId="0" applyNumberFormat="1" applyFont="1" applyBorder="1" applyAlignment="1">
      <alignment horizontal="center" vertical="center" wrapText="1"/>
    </xf>
    <xf numFmtId="10" fontId="7" fillId="7" borderId="1" xfId="0" applyNumberFormat="1" applyFont="1" applyFill="1" applyBorder="1" applyAlignment="1">
      <alignment horizontal="center" vertical="center" wrapText="1"/>
    </xf>
    <xf numFmtId="0" fontId="5" fillId="8" borderId="1" xfId="0" applyFont="1" applyFill="1" applyBorder="1" applyAlignment="1">
      <alignment horizontal="center" vertical="center" wrapText="1"/>
    </xf>
    <xf numFmtId="0" fontId="5" fillId="8" borderId="1" xfId="0" applyFont="1" applyFill="1" applyBorder="1" applyAlignment="1">
      <alignment horizontal="left" vertical="center" wrapText="1" indent="1"/>
    </xf>
    <xf numFmtId="3" fontId="5" fillId="8" borderId="1" xfId="0" applyNumberFormat="1" applyFont="1" applyFill="1" applyBorder="1" applyAlignment="1">
      <alignment horizontal="right" vertical="center" wrapText="1"/>
    </xf>
    <xf numFmtId="0" fontId="4" fillId="0" borderId="1" xfId="0" applyFont="1" applyBorder="1" applyAlignment="1">
      <alignment vertical="center" wrapText="1"/>
    </xf>
    <xf numFmtId="3" fontId="5" fillId="0" borderId="1" xfId="0" applyNumberFormat="1" applyFont="1" applyBorder="1" applyAlignment="1">
      <alignment horizontal="right" vertical="center" wrapText="1"/>
    </xf>
    <xf numFmtId="43" fontId="0" fillId="0" borderId="0" xfId="2" applyFont="1"/>
    <xf numFmtId="0" fontId="7" fillId="4" borderId="1" xfId="0" applyFont="1" applyFill="1" applyBorder="1" applyAlignment="1">
      <alignment horizontal="center" vertical="center" wrapText="1"/>
    </xf>
    <xf numFmtId="0" fontId="5" fillId="4" borderId="1" xfId="0" applyFont="1" applyFill="1" applyBorder="1" applyAlignment="1">
      <alignment horizontal="center" vertical="center" wrapText="1"/>
    </xf>
    <xf numFmtId="10" fontId="11" fillId="3" borderId="11" xfId="0" applyNumberFormat="1" applyFont="1" applyFill="1" applyBorder="1" applyAlignment="1">
      <alignment horizontal="right" vertical="center"/>
    </xf>
    <xf numFmtId="0" fontId="0" fillId="0" borderId="22" xfId="0" applyBorder="1"/>
    <xf numFmtId="166" fontId="11" fillId="3" borderId="11" xfId="2" applyNumberFormat="1" applyFont="1" applyFill="1" applyBorder="1" applyAlignment="1">
      <alignment horizontal="right" vertical="center"/>
    </xf>
    <xf numFmtId="166" fontId="10" fillId="0" borderId="12" xfId="2" applyNumberFormat="1" applyFont="1" applyBorder="1" applyAlignment="1">
      <alignment vertical="center"/>
    </xf>
    <xf numFmtId="3" fontId="10" fillId="0" borderId="11" xfId="0" applyNumberFormat="1" applyFont="1" applyBorder="1" applyAlignment="1">
      <alignment horizontal="right" vertical="center"/>
    </xf>
    <xf numFmtId="0" fontId="11" fillId="0" borderId="0" xfId="0" applyFont="1" applyBorder="1" applyAlignment="1">
      <alignment vertical="center"/>
    </xf>
    <xf numFmtId="0" fontId="11" fillId="0" borderId="0" xfId="0" applyFont="1" applyBorder="1" applyAlignment="1">
      <alignment horizontal="right" vertical="center" wrapText="1"/>
    </xf>
    <xf numFmtId="166" fontId="10" fillId="0" borderId="11" xfId="2" applyNumberFormat="1" applyFont="1" applyBorder="1" applyAlignment="1">
      <alignment horizontal="right" vertical="center"/>
    </xf>
    <xf numFmtId="166" fontId="10" fillId="0" borderId="12" xfId="2" applyNumberFormat="1" applyFont="1" applyBorder="1" applyAlignment="1">
      <alignment horizontal="right" vertical="center"/>
    </xf>
    <xf numFmtId="166" fontId="10" fillId="0" borderId="11" xfId="0" applyNumberFormat="1" applyFont="1" applyBorder="1" applyAlignment="1">
      <alignment horizontal="right" vertical="center"/>
    </xf>
    <xf numFmtId="166" fontId="10" fillId="0" borderId="12" xfId="0" applyNumberFormat="1" applyFont="1" applyBorder="1" applyAlignment="1">
      <alignment horizontal="right" vertical="center"/>
    </xf>
    <xf numFmtId="3" fontId="10" fillId="0" borderId="12" xfId="0" applyNumberFormat="1" applyFont="1" applyBorder="1" applyAlignment="1">
      <alignment vertical="center"/>
    </xf>
    <xf numFmtId="2" fontId="11" fillId="3" borderId="3" xfId="0" applyNumberFormat="1" applyFont="1" applyFill="1" applyBorder="1" applyAlignment="1">
      <alignment horizontal="right" vertical="center"/>
    </xf>
    <xf numFmtId="0" fontId="2" fillId="0" borderId="1" xfId="0" applyFont="1" applyBorder="1"/>
    <xf numFmtId="0" fontId="2" fillId="0" borderId="23" xfId="0" applyFont="1" applyBorder="1"/>
    <xf numFmtId="0" fontId="2" fillId="0" borderId="23" xfId="0" applyFont="1" applyFill="1" applyBorder="1"/>
    <xf numFmtId="0" fontId="2" fillId="0" borderId="1" xfId="3" applyFont="1" applyBorder="1"/>
    <xf numFmtId="9" fontId="2" fillId="3" borderId="3" xfId="0" applyNumberFormat="1" applyFont="1" applyFill="1" applyBorder="1"/>
    <xf numFmtId="0" fontId="0" fillId="0" borderId="0" xfId="0" applyAlignment="1">
      <alignment horizontal="center"/>
    </xf>
    <xf numFmtId="0" fontId="16" fillId="11" borderId="1" xfId="4" applyFont="1" applyBorder="1" applyAlignment="1">
      <alignment horizontal="center" vertical="center"/>
    </xf>
    <xf numFmtId="0" fontId="16" fillId="11" borderId="1" xfId="4" applyFont="1" applyBorder="1" applyAlignment="1">
      <alignment horizontal="center" vertical="center" wrapText="1"/>
    </xf>
    <xf numFmtId="9" fontId="10" fillId="0" borderId="12" xfId="0" applyNumberFormat="1" applyFont="1" applyBorder="1" applyAlignment="1">
      <alignment horizontal="right" vertical="center"/>
    </xf>
    <xf numFmtId="43" fontId="10" fillId="0" borderId="12" xfId="2" applyNumberFormat="1" applyFont="1" applyBorder="1" applyAlignment="1">
      <alignment horizontal="right" vertical="center"/>
    </xf>
    <xf numFmtId="0" fontId="0" fillId="0" borderId="1" xfId="0" quotePrefix="1" applyBorder="1"/>
    <xf numFmtId="3" fontId="13" fillId="0" borderId="1" xfId="0" applyNumberFormat="1" applyFont="1" applyBorder="1" applyAlignment="1">
      <alignment horizontal="right" vertical="center"/>
    </xf>
    <xf numFmtId="43" fontId="10" fillId="0" borderId="0" xfId="2" applyNumberFormat="1" applyFont="1" applyBorder="1" applyAlignment="1">
      <alignment horizontal="right" vertical="center"/>
    </xf>
    <xf numFmtId="1" fontId="10" fillId="0" borderId="12" xfId="0" applyNumberFormat="1" applyFont="1" applyBorder="1" applyAlignment="1">
      <alignment vertical="center"/>
    </xf>
    <xf numFmtId="0" fontId="2" fillId="0" borderId="0" xfId="0" applyFont="1"/>
    <xf numFmtId="9" fontId="12" fillId="0" borderId="1" xfId="1" applyFont="1" applyBorder="1" applyAlignment="1">
      <alignment horizontal="center" vertical="center"/>
    </xf>
    <xf numFmtId="38" fontId="0" fillId="15" borderId="1" xfId="5" applyNumberFormat="1" applyFont="1" applyFill="1" applyBorder="1" applyAlignment="1">
      <alignment horizontal="center"/>
    </xf>
    <xf numFmtId="3" fontId="12" fillId="0" borderId="0" xfId="0" applyNumberFormat="1" applyFont="1" applyAlignment="1">
      <alignment horizontal="right" vertical="center"/>
    </xf>
    <xf numFmtId="40" fontId="0" fillId="15" borderId="0" xfId="5" applyNumberFormat="1" applyFont="1" applyFill="1" applyBorder="1" applyAlignment="1">
      <alignment horizontal="right"/>
    </xf>
    <xf numFmtId="164" fontId="0" fillId="15" borderId="0" xfId="5" applyFont="1" applyFill="1" applyBorder="1" applyAlignment="1">
      <alignment horizontal="right"/>
    </xf>
    <xf numFmtId="0" fontId="12" fillId="0" borderId="0" xfId="0" applyFont="1" applyAlignment="1">
      <alignment horizontal="center" vertical="center" wrapText="1"/>
    </xf>
    <xf numFmtId="10" fontId="12" fillId="0" borderId="0" xfId="0" applyNumberFormat="1" applyFont="1" applyAlignment="1">
      <alignment horizontal="center" vertical="center" wrapText="1"/>
    </xf>
    <xf numFmtId="0" fontId="13" fillId="0" borderId="0" xfId="0" applyFont="1" applyAlignment="1">
      <alignment horizontal="center" vertical="center" wrapText="1"/>
    </xf>
    <xf numFmtId="0" fontId="5" fillId="14" borderId="1" xfId="0" applyFont="1" applyFill="1" applyBorder="1" applyAlignment="1">
      <alignment horizontal="center" vertical="center" wrapText="1"/>
    </xf>
    <xf numFmtId="0" fontId="5" fillId="14" borderId="1" xfId="0" applyFont="1" applyFill="1" applyBorder="1" applyAlignment="1">
      <alignment horizontal="left" vertical="center" wrapText="1" indent="1"/>
    </xf>
    <xf numFmtId="0" fontId="0" fillId="0" borderId="0" xfId="0" applyAlignment="1">
      <alignment horizontal="center"/>
    </xf>
    <xf numFmtId="0" fontId="24" fillId="0" borderId="0" xfId="0" applyFont="1" applyAlignment="1">
      <alignment horizontal="justify" vertical="center"/>
    </xf>
    <xf numFmtId="0" fontId="5" fillId="10" borderId="1" xfId="0" applyFont="1" applyFill="1" applyBorder="1" applyAlignment="1">
      <alignment horizontal="center" vertical="center" wrapText="1"/>
    </xf>
    <xf numFmtId="0" fontId="5" fillId="10" borderId="29" xfId="0" applyFont="1" applyFill="1" applyBorder="1" applyAlignment="1">
      <alignment horizontal="center" vertical="center" wrapText="1"/>
    </xf>
    <xf numFmtId="3" fontId="5" fillId="10" borderId="30" xfId="0" applyNumberFormat="1" applyFont="1" applyFill="1" applyBorder="1" applyAlignment="1">
      <alignment horizontal="center" vertical="center" wrapText="1"/>
    </xf>
    <xf numFmtId="0" fontId="7" fillId="4" borderId="29" xfId="0" applyFont="1" applyFill="1" applyBorder="1" applyAlignment="1">
      <alignment horizontal="center" vertical="center" wrapText="1"/>
    </xf>
    <xf numFmtId="3" fontId="7" fillId="4" borderId="30" xfId="0" applyNumberFormat="1" applyFont="1" applyFill="1" applyBorder="1" applyAlignment="1">
      <alignment horizontal="center" vertical="center" wrapText="1"/>
    </xf>
    <xf numFmtId="0" fontId="7" fillId="0" borderId="29" xfId="0" applyFont="1" applyBorder="1" applyAlignment="1">
      <alignment horizontal="center" vertical="center" wrapText="1"/>
    </xf>
    <xf numFmtId="3" fontId="7" fillId="0" borderId="30" xfId="0" applyNumberFormat="1" applyFont="1" applyBorder="1" applyAlignment="1">
      <alignment horizontal="center" vertical="center" wrapText="1"/>
    </xf>
    <xf numFmtId="0" fontId="5" fillId="4" borderId="29" xfId="0" applyFont="1" applyFill="1" applyBorder="1" applyAlignment="1">
      <alignment horizontal="center" vertical="center" wrapText="1"/>
    </xf>
    <xf numFmtId="3" fontId="5" fillId="4" borderId="30" xfId="0" applyNumberFormat="1" applyFont="1" applyFill="1" applyBorder="1" applyAlignment="1">
      <alignment horizontal="center" vertical="center" wrapText="1"/>
    </xf>
    <xf numFmtId="0" fontId="4" fillId="9" borderId="31" xfId="0" applyFont="1" applyFill="1" applyBorder="1" applyAlignment="1">
      <alignment horizontal="center" vertical="center" wrapText="1"/>
    </xf>
    <xf numFmtId="0" fontId="5" fillId="9" borderId="32" xfId="0" applyFont="1" applyFill="1" applyBorder="1" applyAlignment="1">
      <alignment horizontal="center" vertical="center" wrapText="1"/>
    </xf>
    <xf numFmtId="3" fontId="5" fillId="9" borderId="33" xfId="0" applyNumberFormat="1" applyFont="1" applyFill="1" applyBorder="1" applyAlignment="1">
      <alignment horizontal="center" vertical="center" wrapText="1"/>
    </xf>
    <xf numFmtId="0" fontId="4" fillId="6" borderId="26" xfId="0" applyFont="1" applyFill="1" applyBorder="1" applyAlignment="1">
      <alignment horizontal="center" vertical="center" wrapText="1"/>
    </xf>
    <xf numFmtId="0" fontId="5" fillId="6" borderId="27" xfId="0" applyFont="1" applyFill="1" applyBorder="1" applyAlignment="1">
      <alignment horizontal="center" vertical="center" wrapText="1"/>
    </xf>
    <xf numFmtId="0" fontId="5" fillId="6" borderId="28" xfId="0" applyFont="1" applyFill="1" applyBorder="1" applyAlignment="1">
      <alignment horizontal="center" vertical="center" wrapText="1"/>
    </xf>
    <xf numFmtId="0" fontId="5" fillId="17" borderId="1" xfId="0" applyFont="1" applyFill="1" applyBorder="1" applyAlignment="1">
      <alignment horizontal="left" vertical="center" wrapText="1" indent="1"/>
    </xf>
    <xf numFmtId="0" fontId="22" fillId="17" borderId="1" xfId="0" applyFont="1" applyFill="1" applyBorder="1" applyAlignment="1">
      <alignment horizontal="center" vertical="center" wrapText="1"/>
    </xf>
    <xf numFmtId="0" fontId="23" fillId="0" borderId="1" xfId="0" applyFont="1" applyBorder="1" applyAlignment="1">
      <alignment horizontal="center" vertical="center" wrapText="1"/>
    </xf>
    <xf numFmtId="10" fontId="23" fillId="0" borderId="1" xfId="0" applyNumberFormat="1" applyFont="1" applyBorder="1" applyAlignment="1">
      <alignment horizontal="center" vertical="center" wrapText="1"/>
    </xf>
    <xf numFmtId="0" fontId="4" fillId="16" borderId="26" xfId="0" applyFont="1" applyFill="1" applyBorder="1" applyAlignment="1">
      <alignment vertical="center" wrapText="1"/>
    </xf>
    <xf numFmtId="0" fontId="5" fillId="16" borderId="27" xfId="0" applyFont="1" applyFill="1" applyBorder="1" applyAlignment="1">
      <alignment horizontal="left" vertical="center" wrapText="1" indent="1"/>
    </xf>
    <xf numFmtId="0" fontId="4" fillId="16" borderId="27" xfId="0" applyFont="1" applyFill="1" applyBorder="1" applyAlignment="1">
      <alignment vertical="center" wrapText="1"/>
    </xf>
    <xf numFmtId="0" fontId="5" fillId="16" borderId="28" xfId="0" applyFont="1" applyFill="1" applyBorder="1" applyAlignment="1">
      <alignment horizontal="center" vertical="center" wrapText="1"/>
    </xf>
    <xf numFmtId="0" fontId="5" fillId="14" borderId="29" xfId="0" applyFont="1" applyFill="1" applyBorder="1" applyAlignment="1">
      <alignment horizontal="center" vertical="center" wrapText="1"/>
    </xf>
    <xf numFmtId="3" fontId="5" fillId="14" borderId="30" xfId="0" applyNumberFormat="1" applyFont="1" applyFill="1" applyBorder="1" applyAlignment="1">
      <alignment horizontal="center" vertical="center" wrapText="1"/>
    </xf>
    <xf numFmtId="0" fontId="5" fillId="17" borderId="29" xfId="0" applyFont="1" applyFill="1" applyBorder="1" applyAlignment="1">
      <alignment horizontal="center" vertical="center" wrapText="1"/>
    </xf>
    <xf numFmtId="0" fontId="7" fillId="0" borderId="29" xfId="0" applyFont="1" applyBorder="1" applyAlignment="1">
      <alignment horizontal="left" vertical="center" wrapText="1" indent="1"/>
    </xf>
    <xf numFmtId="0" fontId="4" fillId="18" borderId="31" xfId="0" applyFont="1" applyFill="1" applyBorder="1" applyAlignment="1">
      <alignment vertical="center" wrapText="1"/>
    </xf>
    <xf numFmtId="0" fontId="5" fillId="18" borderId="32" xfId="0" applyFont="1" applyFill="1" applyBorder="1" applyAlignment="1">
      <alignment horizontal="left" vertical="center" wrapText="1" indent="1"/>
    </xf>
    <xf numFmtId="0" fontId="5" fillId="18" borderId="32" xfId="0" applyFont="1" applyFill="1" applyBorder="1" applyAlignment="1">
      <alignment horizontal="center" vertical="center" wrapText="1"/>
    </xf>
    <xf numFmtId="0" fontId="25" fillId="0" borderId="1" xfId="0" applyFont="1" applyBorder="1" applyAlignment="1">
      <alignment horizontal="left" vertical="center" wrapText="1" indent="1"/>
    </xf>
    <xf numFmtId="10" fontId="25" fillId="0" borderId="1" xfId="0" applyNumberFormat="1" applyFont="1" applyBorder="1" applyAlignment="1">
      <alignment horizontal="center" vertical="center" wrapText="1"/>
    </xf>
    <xf numFmtId="0" fontId="27" fillId="17" borderId="1" xfId="0" applyFont="1" applyFill="1" applyBorder="1" applyAlignment="1">
      <alignment horizontal="left" vertical="center" wrapText="1" indent="1"/>
    </xf>
    <xf numFmtId="0" fontId="27" fillId="17" borderId="1" xfId="0" applyFont="1" applyFill="1" applyBorder="1" applyAlignment="1">
      <alignment horizontal="center" vertical="center" wrapText="1"/>
    </xf>
    <xf numFmtId="165" fontId="0" fillId="0" borderId="1" xfId="0" applyNumberFormat="1" applyBorder="1" applyAlignment="1">
      <alignment horizontal="center"/>
    </xf>
    <xf numFmtId="0" fontId="2" fillId="0" borderId="0" xfId="0" applyFont="1" applyFill="1"/>
    <xf numFmtId="0" fontId="0" fillId="0" borderId="1" xfId="0" applyBorder="1" applyAlignment="1">
      <alignment horizontal="center" vertical="center"/>
    </xf>
    <xf numFmtId="0" fontId="2" fillId="14" borderId="1" xfId="0" applyFont="1" applyFill="1" applyBorder="1" applyAlignment="1">
      <alignment horizontal="center" vertical="center"/>
    </xf>
    <xf numFmtId="0" fontId="2" fillId="0" borderId="1" xfId="0" applyFont="1" applyBorder="1" applyAlignment="1">
      <alignment horizontal="center" vertical="center"/>
    </xf>
    <xf numFmtId="0" fontId="2" fillId="6" borderId="1" xfId="0" applyFont="1" applyFill="1" applyBorder="1" applyAlignment="1">
      <alignment horizontal="center" vertical="center"/>
    </xf>
    <xf numFmtId="0" fontId="2" fillId="7" borderId="1" xfId="0" applyFont="1" applyFill="1" applyBorder="1" applyAlignment="1">
      <alignment horizontal="center" vertical="center"/>
    </xf>
    <xf numFmtId="0" fontId="0" fillId="0" borderId="25" xfId="0" applyBorder="1" applyAlignment="1">
      <alignment horizontal="center" vertical="center"/>
    </xf>
    <xf numFmtId="3" fontId="12" fillId="0" borderId="1" xfId="0" applyNumberFormat="1" applyFont="1" applyBorder="1" applyAlignment="1">
      <alignment horizontal="center" vertical="center"/>
    </xf>
    <xf numFmtId="4" fontId="12" fillId="0" borderId="1" xfId="0" applyNumberFormat="1" applyFont="1" applyBorder="1" applyAlignment="1">
      <alignment horizontal="center" vertical="center"/>
    </xf>
    <xf numFmtId="3" fontId="13" fillId="14" borderId="1" xfId="0" applyNumberFormat="1" applyFont="1" applyFill="1" applyBorder="1" applyAlignment="1">
      <alignment horizontal="center" vertical="center"/>
    </xf>
    <xf numFmtId="3" fontId="13" fillId="0" borderId="1" xfId="0" applyNumberFormat="1" applyFont="1" applyBorder="1" applyAlignment="1">
      <alignment horizontal="center" vertical="center"/>
    </xf>
    <xf numFmtId="0" fontId="0" fillId="0" borderId="1" xfId="0" quotePrefix="1" applyBorder="1" applyAlignment="1">
      <alignment horizontal="center" vertical="center"/>
    </xf>
    <xf numFmtId="164" fontId="12" fillId="0" borderId="1" xfId="5" applyFont="1" applyBorder="1" applyAlignment="1">
      <alignment horizontal="center" vertical="center"/>
    </xf>
    <xf numFmtId="3" fontId="13" fillId="6" borderId="1" xfId="0" applyNumberFormat="1" applyFont="1" applyFill="1" applyBorder="1" applyAlignment="1">
      <alignment horizontal="center" vertical="center"/>
    </xf>
    <xf numFmtId="168" fontId="12" fillId="0" borderId="1" xfId="0" applyNumberFormat="1" applyFont="1" applyBorder="1" applyAlignment="1">
      <alignment horizontal="center" vertical="center"/>
    </xf>
    <xf numFmtId="3" fontId="13" fillId="7" borderId="1" xfId="0" applyNumberFormat="1" applyFont="1" applyFill="1" applyBorder="1" applyAlignment="1">
      <alignment horizontal="center" vertical="center"/>
    </xf>
    <xf numFmtId="169" fontId="12" fillId="0" borderId="1" xfId="0" applyNumberFormat="1" applyFont="1" applyBorder="1" applyAlignment="1">
      <alignment horizontal="center" vertical="center"/>
    </xf>
    <xf numFmtId="166" fontId="12" fillId="0" borderId="1" xfId="5" applyNumberFormat="1" applyFont="1" applyBorder="1" applyAlignment="1">
      <alignment horizontal="center" vertical="center"/>
    </xf>
    <xf numFmtId="0" fontId="0" fillId="0" borderId="24" xfId="0" applyBorder="1" applyAlignment="1">
      <alignment horizontal="center" vertical="center"/>
    </xf>
    <xf numFmtId="3" fontId="12" fillId="0" borderId="24" xfId="0" applyNumberFormat="1" applyFont="1" applyBorder="1" applyAlignment="1">
      <alignment horizontal="center" vertical="center"/>
    </xf>
    <xf numFmtId="0" fontId="20" fillId="0" borderId="26" xfId="3" applyFont="1" applyBorder="1" applyAlignment="1">
      <alignment horizontal="center" vertical="center"/>
    </xf>
    <xf numFmtId="3" fontId="12" fillId="0" borderId="22" xfId="0" applyNumberFormat="1" applyFont="1" applyBorder="1" applyAlignment="1">
      <alignment horizontal="center" vertical="center"/>
    </xf>
    <xf numFmtId="0" fontId="20" fillId="0" borderId="29" xfId="0" applyFont="1" applyBorder="1" applyAlignment="1">
      <alignment horizontal="center" vertical="center"/>
    </xf>
    <xf numFmtId="0" fontId="20" fillId="0" borderId="31" xfId="0" applyFont="1" applyBorder="1" applyAlignment="1">
      <alignment horizontal="center" vertical="center"/>
    </xf>
    <xf numFmtId="2" fontId="0" fillId="0" borderId="1" xfId="0" applyNumberFormat="1" applyBorder="1" applyAlignment="1">
      <alignment horizontal="center"/>
    </xf>
    <xf numFmtId="0" fontId="0" fillId="12" borderId="1" xfId="0" applyFill="1" applyBorder="1" applyAlignment="1">
      <alignment horizontal="center" vertical="center"/>
    </xf>
    <xf numFmtId="0" fontId="0" fillId="13" borderId="1" xfId="0" applyFill="1" applyBorder="1" applyAlignment="1">
      <alignment horizontal="center" vertical="center"/>
    </xf>
    <xf numFmtId="167" fontId="18" fillId="0" borderId="1" xfId="2" applyNumberFormat="1" applyFont="1" applyBorder="1" applyAlignment="1">
      <alignment horizontal="center" vertical="center"/>
    </xf>
    <xf numFmtId="167" fontId="19" fillId="0" borderId="1" xfId="2" applyNumberFormat="1" applyFont="1" applyBorder="1" applyAlignment="1">
      <alignment horizontal="center" vertical="center"/>
    </xf>
    <xf numFmtId="0" fontId="0" fillId="2" borderId="1" xfId="0" applyFill="1" applyBorder="1" applyAlignment="1">
      <alignment horizontal="center" vertical="center"/>
    </xf>
    <xf numFmtId="1" fontId="0" fillId="0" borderId="1" xfId="0" applyNumberFormat="1" applyBorder="1" applyAlignment="1">
      <alignment horizontal="center" vertical="center"/>
    </xf>
    <xf numFmtId="167" fontId="0" fillId="0" borderId="1" xfId="0" applyNumberFormat="1" applyBorder="1" applyAlignment="1">
      <alignment horizontal="center" vertical="center"/>
    </xf>
    <xf numFmtId="0" fontId="28" fillId="0" borderId="0" xfId="0" applyFont="1" applyAlignment="1">
      <alignment horizontal="justify" vertical="center"/>
    </xf>
    <xf numFmtId="0" fontId="29" fillId="0" borderId="0" xfId="0" applyFont="1" applyAlignment="1">
      <alignment horizontal="justify" vertical="center"/>
    </xf>
    <xf numFmtId="0" fontId="2" fillId="0" borderId="1" xfId="0" applyFont="1" applyFill="1" applyBorder="1" applyAlignment="1">
      <alignment horizontal="center" vertical="center"/>
    </xf>
    <xf numFmtId="3" fontId="13" fillId="0" borderId="1" xfId="0" applyNumberFormat="1" applyFont="1" applyFill="1" applyBorder="1" applyAlignment="1">
      <alignment horizontal="center" vertical="center"/>
    </xf>
    <xf numFmtId="0" fontId="0" fillId="14" borderId="1" xfId="0" applyFill="1" applyBorder="1" applyAlignment="1">
      <alignment horizontal="center" vertical="center"/>
    </xf>
    <xf numFmtId="3" fontId="12" fillId="14" borderId="1" xfId="0" applyNumberFormat="1" applyFont="1" applyFill="1" applyBorder="1" applyAlignment="1">
      <alignment horizontal="center" vertical="center"/>
    </xf>
    <xf numFmtId="9" fontId="12" fillId="14" borderId="1" xfId="1" applyFont="1" applyFill="1" applyBorder="1" applyAlignment="1">
      <alignment horizontal="center" vertical="center"/>
    </xf>
    <xf numFmtId="0" fontId="0" fillId="14" borderId="0" xfId="0" applyFill="1"/>
    <xf numFmtId="0" fontId="2" fillId="14" borderId="1" xfId="0" applyFont="1" applyFill="1" applyBorder="1" applyAlignment="1">
      <alignment horizontal="left" vertical="center"/>
    </xf>
    <xf numFmtId="0" fontId="0" fillId="0" borderId="0" xfId="0" applyAlignment="1">
      <alignment horizontal="left"/>
    </xf>
    <xf numFmtId="0" fontId="0" fillId="14" borderId="1" xfId="0" applyFill="1" applyBorder="1" applyAlignment="1">
      <alignment horizontal="left" vertical="center"/>
    </xf>
    <xf numFmtId="0" fontId="16" fillId="14" borderId="1" xfId="4" applyFont="1" applyFill="1" applyBorder="1" applyAlignment="1">
      <alignment horizontal="center" vertical="center"/>
    </xf>
    <xf numFmtId="0" fontId="0" fillId="14" borderId="0" xfId="0" applyFill="1" applyAlignment="1">
      <alignment horizontal="left"/>
    </xf>
    <xf numFmtId="0" fontId="16" fillId="14" borderId="1" xfId="4" applyFont="1" applyFill="1" applyBorder="1" applyAlignment="1">
      <alignment horizontal="center" vertical="center" wrapText="1"/>
    </xf>
    <xf numFmtId="0" fontId="2" fillId="14" borderId="0" xfId="0" applyFont="1" applyFill="1"/>
    <xf numFmtId="164" fontId="0" fillId="0" borderId="0" xfId="0" applyNumberFormat="1"/>
    <xf numFmtId="2" fontId="13" fillId="0" borderId="1" xfId="0" applyNumberFormat="1" applyFont="1" applyFill="1" applyBorder="1" applyAlignment="1">
      <alignment horizontal="center" vertical="center"/>
    </xf>
    <xf numFmtId="0" fontId="2" fillId="2" borderId="0" xfId="0" applyFont="1" applyFill="1" applyAlignment="1">
      <alignment horizontal="center"/>
    </xf>
    <xf numFmtId="3" fontId="5" fillId="17" borderId="34" xfId="0" applyNumberFormat="1" applyFont="1" applyFill="1" applyBorder="1" applyAlignment="1">
      <alignment horizontal="center" vertical="center" wrapText="1"/>
    </xf>
    <xf numFmtId="3" fontId="7" fillId="0" borderId="25" xfId="0" applyNumberFormat="1" applyFont="1" applyBorder="1" applyAlignment="1">
      <alignment horizontal="center" vertical="center" wrapText="1"/>
    </xf>
    <xf numFmtId="3" fontId="5" fillId="17" borderId="35" xfId="0" applyNumberFormat="1" applyFont="1" applyFill="1" applyBorder="1" applyAlignment="1">
      <alignment horizontal="center" vertical="center" wrapText="1"/>
    </xf>
    <xf numFmtId="3" fontId="5" fillId="17" borderId="25" xfId="0" applyNumberFormat="1" applyFont="1" applyFill="1" applyBorder="1" applyAlignment="1">
      <alignment horizontal="center" vertical="center" wrapText="1"/>
    </xf>
    <xf numFmtId="0" fontId="7" fillId="0" borderId="25" xfId="0" applyFont="1" applyBorder="1" applyAlignment="1">
      <alignment horizontal="center" vertical="center" wrapText="1"/>
    </xf>
    <xf numFmtId="2" fontId="13" fillId="14" borderId="1" xfId="0" applyNumberFormat="1" applyFont="1" applyFill="1" applyBorder="1" applyAlignment="1">
      <alignment horizontal="center" vertical="center"/>
    </xf>
    <xf numFmtId="9" fontId="0" fillId="0" borderId="1" xfId="0" applyNumberFormat="1" applyBorder="1" applyAlignment="1">
      <alignment horizontal="center"/>
    </xf>
    <xf numFmtId="3" fontId="7" fillId="0" borderId="1" xfId="0" applyNumberFormat="1" applyFont="1" applyBorder="1" applyAlignment="1">
      <alignment horizontal="center" vertical="center" wrapText="1"/>
    </xf>
    <xf numFmtId="0" fontId="5" fillId="17" borderId="1" xfId="0" applyFont="1" applyFill="1" applyBorder="1" applyAlignment="1">
      <alignment horizontal="center" vertical="center" wrapText="1"/>
    </xf>
    <xf numFmtId="3" fontId="5" fillId="17" borderId="1" xfId="0" applyNumberFormat="1" applyFont="1" applyFill="1" applyBorder="1" applyAlignment="1">
      <alignment horizontal="center" vertical="center" wrapText="1"/>
    </xf>
    <xf numFmtId="165" fontId="0" fillId="17" borderId="1" xfId="0" applyNumberFormat="1" applyFill="1" applyBorder="1" applyAlignment="1">
      <alignment horizontal="center"/>
    </xf>
    <xf numFmtId="170" fontId="12" fillId="0" borderId="1" xfId="1" applyNumberFormat="1" applyFont="1" applyBorder="1" applyAlignment="1">
      <alignment horizontal="center" vertical="center"/>
    </xf>
    <xf numFmtId="3" fontId="12" fillId="0" borderId="1" xfId="0" applyNumberFormat="1" applyFont="1" applyBorder="1" applyAlignment="1">
      <alignment vertical="center"/>
    </xf>
    <xf numFmtId="166" fontId="13" fillId="0" borderId="28" xfId="5" applyNumberFormat="1" applyFont="1" applyFill="1" applyBorder="1" applyAlignment="1">
      <alignment horizontal="center" vertical="center"/>
    </xf>
    <xf numFmtId="10" fontId="13" fillId="0" borderId="30" xfId="0" applyNumberFormat="1" applyFont="1" applyBorder="1" applyAlignment="1">
      <alignment horizontal="center" vertical="center"/>
    </xf>
    <xf numFmtId="164" fontId="20" fillId="0" borderId="33" xfId="5" applyFont="1" applyFill="1" applyBorder="1" applyAlignment="1">
      <alignment horizontal="center" vertical="center"/>
    </xf>
    <xf numFmtId="0" fontId="16" fillId="11" borderId="1" xfId="4" applyFont="1" applyBorder="1" applyAlignment="1">
      <alignment horizontal="center" vertical="center"/>
    </xf>
    <xf numFmtId="164" fontId="12" fillId="0" borderId="1" xfId="5" applyNumberFormat="1" applyFont="1" applyBorder="1" applyAlignment="1">
      <alignment horizontal="center" vertical="center"/>
    </xf>
    <xf numFmtId="164" fontId="12" fillId="0" borderId="1" xfId="0" applyNumberFormat="1" applyFont="1" applyBorder="1" applyAlignment="1">
      <alignment horizontal="center" vertical="center"/>
    </xf>
    <xf numFmtId="164" fontId="12" fillId="0" borderId="1" xfId="0" applyNumberFormat="1" applyFont="1" applyBorder="1" applyAlignment="1">
      <alignment vertical="center"/>
    </xf>
    <xf numFmtId="164" fontId="12" fillId="0" borderId="1" xfId="5" applyNumberFormat="1" applyFont="1" applyBorder="1" applyAlignment="1">
      <alignment vertical="center"/>
    </xf>
    <xf numFmtId="40" fontId="0" fillId="15" borderId="0" xfId="5" applyNumberFormat="1" applyFont="1" applyFill="1" applyBorder="1" applyAlignment="1">
      <alignment horizontal="center"/>
    </xf>
    <xf numFmtId="164" fontId="0" fillId="15" borderId="0" xfId="5" applyFont="1" applyFill="1" applyBorder="1" applyAlignment="1">
      <alignment horizontal="center"/>
    </xf>
    <xf numFmtId="9" fontId="12" fillId="14" borderId="1" xfId="1" applyFont="1" applyFill="1" applyBorder="1" applyAlignment="1">
      <alignment vertical="center"/>
    </xf>
    <xf numFmtId="3" fontId="13" fillId="0" borderId="1" xfId="0" applyNumberFormat="1" applyFont="1" applyBorder="1" applyAlignment="1">
      <alignment vertical="center"/>
    </xf>
    <xf numFmtId="0" fontId="5" fillId="16" borderId="35" xfId="0" applyFont="1" applyFill="1" applyBorder="1" applyAlignment="1">
      <alignment horizontal="center" vertical="center" wrapText="1"/>
    </xf>
    <xf numFmtId="3" fontId="5" fillId="14" borderId="25" xfId="0" applyNumberFormat="1" applyFont="1" applyFill="1" applyBorder="1" applyAlignment="1">
      <alignment horizontal="center" vertical="center" wrapText="1"/>
    </xf>
    <xf numFmtId="0" fontId="5" fillId="16" borderId="36" xfId="0" applyFont="1" applyFill="1" applyBorder="1" applyAlignment="1">
      <alignment horizontal="center" vertical="center" wrapText="1"/>
    </xf>
    <xf numFmtId="165" fontId="0" fillId="17" borderId="22" xfId="0" applyNumberFormat="1" applyFill="1" applyBorder="1" applyAlignment="1">
      <alignment horizontal="center"/>
    </xf>
    <xf numFmtId="165" fontId="0" fillId="0" borderId="22" xfId="0" applyNumberFormat="1" applyBorder="1" applyAlignment="1">
      <alignment horizontal="center"/>
    </xf>
    <xf numFmtId="3" fontId="5" fillId="17" borderId="37" xfId="0" applyNumberFormat="1" applyFont="1" applyFill="1" applyBorder="1" applyAlignment="1">
      <alignment horizontal="center" vertical="center" wrapText="1"/>
    </xf>
    <xf numFmtId="3" fontId="5" fillId="17" borderId="38" xfId="0" applyNumberFormat="1" applyFont="1" applyFill="1" applyBorder="1" applyAlignment="1">
      <alignment horizontal="center" vertical="center" wrapText="1"/>
    </xf>
    <xf numFmtId="3" fontId="5" fillId="18" borderId="1" xfId="0" applyNumberFormat="1" applyFont="1" applyFill="1" applyBorder="1" applyAlignment="1">
      <alignment horizontal="center" vertical="center" wrapText="1"/>
    </xf>
    <xf numFmtId="0" fontId="0" fillId="0" borderId="0" xfId="0"/>
    <xf numFmtId="0" fontId="0" fillId="0" borderId="1" xfId="0" applyBorder="1" applyAlignment="1">
      <alignment horizontal="center" vertical="center"/>
    </xf>
    <xf numFmtId="0" fontId="2" fillId="0" borderId="1" xfId="0" applyFont="1" applyBorder="1" applyAlignment="1">
      <alignment horizontal="center" vertical="center"/>
    </xf>
    <xf numFmtId="2" fontId="0" fillId="0" borderId="1" xfId="0" applyNumberFormat="1" applyBorder="1" applyAlignment="1">
      <alignment horizontal="center" vertical="center"/>
    </xf>
    <xf numFmtId="0" fontId="4" fillId="18" borderId="40" xfId="0" applyFont="1" applyFill="1" applyBorder="1" applyAlignment="1">
      <alignment vertical="center" wrapText="1"/>
    </xf>
    <xf numFmtId="0" fontId="5" fillId="18" borderId="24" xfId="0" applyFont="1" applyFill="1" applyBorder="1" applyAlignment="1">
      <alignment horizontal="left" vertical="center" wrapText="1" indent="1"/>
    </xf>
    <xf numFmtId="0" fontId="5" fillId="18" borderId="24" xfId="0" applyFont="1" applyFill="1" applyBorder="1" applyAlignment="1">
      <alignment horizontal="center" vertical="center" wrapText="1"/>
    </xf>
    <xf numFmtId="3" fontId="5" fillId="18" borderId="34" xfId="0" applyNumberFormat="1" applyFont="1" applyFill="1" applyBorder="1" applyAlignment="1">
      <alignment horizontal="center" vertical="center" wrapText="1"/>
    </xf>
    <xf numFmtId="1" fontId="2" fillId="17" borderId="39" xfId="0" applyNumberFormat="1" applyFont="1" applyFill="1" applyBorder="1" applyAlignment="1">
      <alignment horizontal="center"/>
    </xf>
    <xf numFmtId="0" fontId="4" fillId="18" borderId="1" xfId="0" applyFont="1" applyFill="1" applyBorder="1" applyAlignment="1">
      <alignment vertical="center" wrapText="1"/>
    </xf>
    <xf numFmtId="0" fontId="5" fillId="18" borderId="1" xfId="0" applyFont="1" applyFill="1" applyBorder="1" applyAlignment="1">
      <alignment horizontal="left" vertical="center" wrapText="1" indent="1"/>
    </xf>
    <xf numFmtId="0" fontId="5" fillId="18" borderId="1" xfId="0" applyFont="1" applyFill="1" applyBorder="1" applyAlignment="1">
      <alignment horizontal="center" vertical="center" wrapText="1"/>
    </xf>
    <xf numFmtId="1" fontId="0" fillId="0" borderId="0" xfId="0" applyNumberFormat="1"/>
    <xf numFmtId="0" fontId="2" fillId="2" borderId="1" xfId="0" applyFont="1" applyFill="1" applyBorder="1" applyAlignment="1">
      <alignment horizontal="left"/>
    </xf>
    <xf numFmtId="0" fontId="5" fillId="16" borderId="1" xfId="0" applyFont="1" applyFill="1" applyBorder="1" applyAlignment="1">
      <alignment horizontal="left" vertical="center" wrapText="1"/>
    </xf>
    <xf numFmtId="3" fontId="5" fillId="14" borderId="1" xfId="0" applyNumberFormat="1" applyFont="1" applyFill="1" applyBorder="1" applyAlignment="1">
      <alignment horizontal="left" vertical="center" wrapText="1"/>
    </xf>
    <xf numFmtId="3" fontId="5" fillId="17" borderId="1" xfId="0" applyNumberFormat="1" applyFont="1" applyFill="1" applyBorder="1" applyAlignment="1">
      <alignment horizontal="left" vertical="center" wrapText="1"/>
    </xf>
    <xf numFmtId="3" fontId="7" fillId="0" borderId="1" xfId="0" applyNumberFormat="1" applyFont="1" applyBorder="1" applyAlignment="1">
      <alignment horizontal="left" vertical="center" wrapText="1"/>
    </xf>
    <xf numFmtId="0" fontId="7" fillId="0" borderId="1" xfId="0" applyFont="1" applyBorder="1" applyAlignment="1">
      <alignment horizontal="left" vertical="center" wrapText="1"/>
    </xf>
    <xf numFmtId="3" fontId="5" fillId="18" borderId="1" xfId="0" applyNumberFormat="1" applyFont="1" applyFill="1" applyBorder="1" applyAlignment="1">
      <alignment horizontal="left" vertical="center" wrapText="1"/>
    </xf>
    <xf numFmtId="3" fontId="5" fillId="18" borderId="1" xfId="0" applyNumberFormat="1" applyFont="1" applyFill="1" applyBorder="1" applyAlignment="1">
      <alignment vertical="center" wrapText="1"/>
    </xf>
    <xf numFmtId="0" fontId="4" fillId="16" borderId="41" xfId="0" applyFont="1" applyFill="1" applyBorder="1" applyAlignment="1">
      <alignment vertical="center" wrapText="1"/>
    </xf>
    <xf numFmtId="0" fontId="5" fillId="16" borderId="4" xfId="0" applyFont="1" applyFill="1" applyBorder="1" applyAlignment="1">
      <alignment horizontal="left" vertical="center" wrapText="1" indent="1"/>
    </xf>
    <xf numFmtId="0" fontId="4" fillId="16" borderId="4" xfId="0" applyFont="1" applyFill="1" applyBorder="1" applyAlignment="1">
      <alignment vertical="center" wrapText="1"/>
    </xf>
    <xf numFmtId="0" fontId="5" fillId="16" borderId="4" xfId="0" applyFont="1" applyFill="1" applyBorder="1" applyAlignment="1">
      <alignment horizontal="left" vertical="center" wrapText="1"/>
    </xf>
    <xf numFmtId="0" fontId="0" fillId="0" borderId="4" xfId="0" applyBorder="1" applyAlignment="1">
      <alignment horizontal="left"/>
    </xf>
    <xf numFmtId="0" fontId="29" fillId="0" borderId="0" xfId="0" applyFont="1"/>
    <xf numFmtId="0" fontId="32" fillId="19" borderId="18" xfId="0" applyFont="1" applyFill="1" applyBorder="1" applyAlignment="1">
      <alignment horizontal="center" vertical="center" wrapText="1"/>
    </xf>
    <xf numFmtId="0" fontId="32" fillId="19" borderId="12" xfId="0" applyFont="1" applyFill="1" applyBorder="1" applyAlignment="1">
      <alignment horizontal="center" vertical="center" wrapText="1"/>
    </xf>
    <xf numFmtId="0" fontId="33" fillId="0" borderId="11" xfId="0" applyFont="1" applyBorder="1" applyAlignment="1">
      <alignment horizontal="center" vertical="center"/>
    </xf>
    <xf numFmtId="0" fontId="33" fillId="0" borderId="12" xfId="0" applyFont="1" applyBorder="1" applyAlignment="1">
      <alignment horizontal="center" vertical="center" wrapText="1"/>
    </xf>
    <xf numFmtId="0" fontId="33" fillId="17" borderId="12" xfId="0" applyFont="1" applyFill="1" applyBorder="1" applyAlignment="1">
      <alignment horizontal="center" vertical="center" wrapText="1"/>
    </xf>
    <xf numFmtId="0" fontId="33" fillId="0" borderId="12" xfId="0" applyFont="1" applyFill="1" applyBorder="1" applyAlignment="1">
      <alignment horizontal="center" vertical="center" wrapText="1"/>
    </xf>
    <xf numFmtId="0" fontId="33" fillId="20" borderId="12" xfId="0" applyFont="1" applyFill="1" applyBorder="1" applyAlignment="1">
      <alignment horizontal="center" vertical="center" wrapText="1"/>
    </xf>
    <xf numFmtId="0" fontId="33" fillId="21" borderId="11" xfId="0" applyFont="1" applyFill="1" applyBorder="1" applyAlignment="1">
      <alignment horizontal="center" vertical="center"/>
    </xf>
    <xf numFmtId="0" fontId="32" fillId="21" borderId="12" xfId="0" applyFont="1" applyFill="1" applyBorder="1" applyAlignment="1">
      <alignment horizontal="center" vertical="center" wrapText="1"/>
    </xf>
    <xf numFmtId="0" fontId="33" fillId="21" borderId="12" xfId="0" applyFont="1" applyFill="1" applyBorder="1" applyAlignment="1">
      <alignment horizontal="center" vertical="center" wrapText="1"/>
    </xf>
    <xf numFmtId="0" fontId="29" fillId="21" borderId="12" xfId="0" applyFont="1" applyFill="1" applyBorder="1" applyAlignment="1">
      <alignment horizontal="center" vertical="center" wrapText="1"/>
    </xf>
    <xf numFmtId="0" fontId="33" fillId="20" borderId="11" xfId="0" applyFont="1" applyFill="1" applyBorder="1" applyAlignment="1">
      <alignment horizontal="center" vertical="center"/>
    </xf>
    <xf numFmtId="0" fontId="32" fillId="0" borderId="12" xfId="0" applyFont="1" applyBorder="1" applyAlignment="1">
      <alignment horizontal="center" vertical="center" wrapText="1"/>
    </xf>
    <xf numFmtId="0" fontId="33" fillId="0" borderId="11" xfId="0" applyFont="1" applyBorder="1" applyAlignment="1">
      <alignment horizontal="center" vertical="center" wrapText="1"/>
    </xf>
    <xf numFmtId="0" fontId="33" fillId="17" borderId="11" xfId="0" applyFont="1" applyFill="1" applyBorder="1" applyAlignment="1">
      <alignment horizontal="center" vertical="center" wrapText="1"/>
    </xf>
    <xf numFmtId="0" fontId="33" fillId="21" borderId="11" xfId="0" applyFont="1" applyFill="1" applyBorder="1" applyAlignment="1">
      <alignment horizontal="center" vertical="center" wrapText="1"/>
    </xf>
    <xf numFmtId="0" fontId="29" fillId="0" borderId="12" xfId="0" applyFont="1" applyBorder="1" applyAlignment="1">
      <alignment horizontal="center"/>
    </xf>
    <xf numFmtId="171" fontId="0" fillId="0" borderId="0" xfId="1" applyNumberFormat="1" applyFont="1"/>
    <xf numFmtId="1" fontId="7" fillId="0" borderId="25" xfId="0" applyNumberFormat="1" applyFont="1" applyBorder="1" applyAlignment="1">
      <alignment horizontal="center" vertical="center" wrapText="1"/>
    </xf>
    <xf numFmtId="165" fontId="25" fillId="0" borderId="1" xfId="0" applyNumberFormat="1" applyFont="1" applyBorder="1" applyAlignment="1">
      <alignment horizontal="center" vertical="center" wrapText="1"/>
    </xf>
    <xf numFmtId="4" fontId="7" fillId="0" borderId="25" xfId="0" applyNumberFormat="1" applyFont="1" applyBorder="1" applyAlignment="1">
      <alignment horizontal="center" vertical="center" wrapText="1"/>
    </xf>
    <xf numFmtId="0" fontId="33" fillId="0" borderId="14" xfId="0" applyFont="1" applyBorder="1" applyAlignment="1">
      <alignment horizontal="center" vertical="center" wrapText="1"/>
    </xf>
    <xf numFmtId="0" fontId="33" fillId="0" borderId="15" xfId="0" applyFont="1" applyBorder="1" applyAlignment="1">
      <alignment horizontal="center" vertical="center" wrapText="1"/>
    </xf>
    <xf numFmtId="0" fontId="33" fillId="0" borderId="18" xfId="0" applyFont="1" applyBorder="1" applyAlignment="1">
      <alignment horizontal="center" vertical="center" wrapText="1"/>
    </xf>
    <xf numFmtId="0" fontId="33" fillId="0" borderId="17" xfId="0" applyFont="1" applyBorder="1" applyAlignment="1">
      <alignment horizontal="center" vertical="center" wrapText="1"/>
    </xf>
    <xf numFmtId="0" fontId="33" fillId="0" borderId="13" xfId="0" applyFont="1" applyBorder="1" applyAlignment="1">
      <alignment horizontal="center" vertical="center" wrapText="1"/>
    </xf>
    <xf numFmtId="0" fontId="33" fillId="0" borderId="12" xfId="0" applyFont="1" applyBorder="1" applyAlignment="1">
      <alignment horizontal="center" vertical="center" wrapText="1"/>
    </xf>
    <xf numFmtId="0" fontId="31" fillId="22" borderId="21" xfId="0" applyFont="1" applyFill="1" applyBorder="1" applyAlignment="1">
      <alignment horizontal="center"/>
    </xf>
    <xf numFmtId="0" fontId="31" fillId="22" borderId="19" xfId="0" applyFont="1" applyFill="1" applyBorder="1" applyAlignment="1">
      <alignment horizontal="center"/>
    </xf>
    <xf numFmtId="0" fontId="31" fillId="22" borderId="10" xfId="0" applyFont="1" applyFill="1" applyBorder="1" applyAlignment="1">
      <alignment horizontal="center"/>
    </xf>
    <xf numFmtId="0" fontId="32" fillId="19" borderId="20" xfId="0" applyFont="1" applyFill="1" applyBorder="1" applyAlignment="1">
      <alignment horizontal="center" vertical="center" wrapText="1"/>
    </xf>
    <xf numFmtId="0" fontId="32" fillId="19" borderId="11" xfId="0" applyFont="1" applyFill="1" applyBorder="1" applyAlignment="1">
      <alignment horizontal="center" vertical="center" wrapText="1"/>
    </xf>
    <xf numFmtId="0" fontId="33" fillId="19" borderId="20" xfId="0" applyFont="1" applyFill="1" applyBorder="1" applyAlignment="1">
      <alignment horizontal="center" vertical="center"/>
    </xf>
    <xf numFmtId="0" fontId="33" fillId="19" borderId="11" xfId="0" applyFont="1" applyFill="1" applyBorder="1" applyAlignment="1">
      <alignment horizontal="center" vertical="center"/>
    </xf>
    <xf numFmtId="0" fontId="33" fillId="19" borderId="20" xfId="0" applyFont="1" applyFill="1" applyBorder="1" applyAlignment="1">
      <alignment horizontal="center" vertical="center" wrapText="1"/>
    </xf>
    <xf numFmtId="0" fontId="33" fillId="19" borderId="11" xfId="0" applyFont="1" applyFill="1" applyBorder="1" applyAlignment="1">
      <alignment horizontal="center" vertical="center" wrapText="1"/>
    </xf>
    <xf numFmtId="0" fontId="2" fillId="23" borderId="1" xfId="0" applyFont="1" applyFill="1" applyBorder="1" applyAlignment="1">
      <alignment horizontal="center"/>
    </xf>
    <xf numFmtId="0" fontId="2" fillId="17" borderId="1" xfId="0" applyFont="1" applyFill="1" applyBorder="1" applyAlignment="1">
      <alignment horizontal="center"/>
    </xf>
    <xf numFmtId="0" fontId="2" fillId="17" borderId="24" xfId="0" applyFont="1" applyFill="1" applyBorder="1" applyAlignment="1">
      <alignment horizontal="center"/>
    </xf>
    <xf numFmtId="0" fontId="2" fillId="17" borderId="25" xfId="0" applyFont="1" applyFill="1" applyBorder="1" applyAlignment="1">
      <alignment horizontal="center" vertical="center"/>
    </xf>
    <xf numFmtId="0" fontId="2" fillId="17" borderId="38" xfId="0" applyFont="1" applyFill="1" applyBorder="1" applyAlignment="1">
      <alignment horizontal="center" vertical="center"/>
    </xf>
    <xf numFmtId="0" fontId="2" fillId="4" borderId="25" xfId="0" applyFont="1" applyFill="1" applyBorder="1" applyAlignment="1">
      <alignment horizontal="center" vertical="center"/>
    </xf>
    <xf numFmtId="0" fontId="2" fillId="4" borderId="38" xfId="0" applyFont="1" applyFill="1" applyBorder="1" applyAlignment="1">
      <alignment horizontal="center" vertical="center"/>
    </xf>
    <xf numFmtId="0" fontId="2" fillId="4" borderId="22" xfId="0" applyFont="1" applyFill="1" applyBorder="1" applyAlignment="1">
      <alignment horizontal="center" vertical="center"/>
    </xf>
    <xf numFmtId="0" fontId="13" fillId="0" borderId="0" xfId="0" applyFont="1" applyAlignment="1">
      <alignment horizontal="center" vertical="center" wrapText="1"/>
    </xf>
    <xf numFmtId="0" fontId="16" fillId="11" borderId="1" xfId="4" applyFont="1" applyBorder="1" applyAlignment="1">
      <alignment horizontal="center" vertical="center"/>
    </xf>
    <xf numFmtId="0" fontId="13" fillId="0" borderId="0" xfId="0" applyFont="1" applyAlignment="1">
      <alignment horizontal="center" vertical="center"/>
    </xf>
    <xf numFmtId="0" fontId="21" fillId="0" borderId="0" xfId="0" applyFont="1" applyAlignment="1">
      <alignment horizontal="right" vertical="center"/>
    </xf>
    <xf numFmtId="0" fontId="0" fillId="5" borderId="6" xfId="0" applyFill="1" applyBorder="1" applyAlignment="1">
      <alignment horizontal="center"/>
    </xf>
    <xf numFmtId="0" fontId="0" fillId="5" borderId="7" xfId="0" applyFill="1" applyBorder="1" applyAlignment="1">
      <alignment horizontal="center"/>
    </xf>
    <xf numFmtId="0" fontId="0" fillId="5" borderId="8" xfId="0" applyFill="1" applyBorder="1" applyAlignment="1">
      <alignment horizontal="center"/>
    </xf>
    <xf numFmtId="0" fontId="0" fillId="4" borderId="16" xfId="0" applyFill="1" applyBorder="1" applyAlignment="1">
      <alignment horizontal="center"/>
    </xf>
    <xf numFmtId="0" fontId="0" fillId="4" borderId="0" xfId="0" applyFill="1" applyBorder="1" applyAlignment="1">
      <alignment horizontal="center"/>
    </xf>
    <xf numFmtId="4" fontId="0" fillId="0" borderId="0" xfId="0" applyNumberFormat="1"/>
    <xf numFmtId="2" fontId="0" fillId="0" borderId="0" xfId="0" applyNumberFormat="1"/>
    <xf numFmtId="0" fontId="32" fillId="24" borderId="14" xfId="0" applyFont="1" applyFill="1" applyBorder="1" applyAlignment="1">
      <alignment horizontal="center" vertical="center"/>
    </xf>
    <xf numFmtId="0" fontId="32" fillId="24" borderId="42" xfId="0" applyFont="1" applyFill="1" applyBorder="1" applyAlignment="1">
      <alignment horizontal="center" vertical="center"/>
    </xf>
    <xf numFmtId="0" fontId="32" fillId="24" borderId="43" xfId="0" applyFont="1" applyFill="1" applyBorder="1" applyAlignment="1">
      <alignment horizontal="center" vertical="center" wrapText="1"/>
    </xf>
    <xf numFmtId="0" fontId="32" fillId="24" borderId="15" xfId="0" applyFont="1" applyFill="1" applyBorder="1" applyAlignment="1">
      <alignment horizontal="center" vertical="center" wrapText="1"/>
    </xf>
    <xf numFmtId="0" fontId="32" fillId="24" borderId="42" xfId="0" applyFont="1" applyFill="1" applyBorder="1" applyAlignment="1">
      <alignment horizontal="center" vertical="center" wrapText="1"/>
    </xf>
    <xf numFmtId="0" fontId="0" fillId="0" borderId="0" xfId="0" applyAlignment="1">
      <alignment vertical="center" wrapText="1"/>
    </xf>
    <xf numFmtId="0" fontId="32" fillId="24" borderId="44" xfId="0" applyFont="1" applyFill="1" applyBorder="1" applyAlignment="1">
      <alignment horizontal="center" vertical="center"/>
    </xf>
    <xf numFmtId="0" fontId="32" fillId="24" borderId="45" xfId="0" applyFont="1" applyFill="1" applyBorder="1" applyAlignment="1">
      <alignment horizontal="center" vertical="center"/>
    </xf>
    <xf numFmtId="0" fontId="32" fillId="24" borderId="46" xfId="0" applyFont="1" applyFill="1" applyBorder="1" applyAlignment="1">
      <alignment horizontal="center" vertical="center" wrapText="1"/>
    </xf>
    <xf numFmtId="0" fontId="32" fillId="24" borderId="47" xfId="0" applyFont="1" applyFill="1" applyBorder="1" applyAlignment="1">
      <alignment horizontal="center" vertical="center" wrapText="1"/>
    </xf>
    <xf numFmtId="0" fontId="32" fillId="24" borderId="45" xfId="0" applyFont="1" applyFill="1" applyBorder="1" applyAlignment="1">
      <alignment horizontal="center" vertical="center" wrapText="1"/>
    </xf>
    <xf numFmtId="0" fontId="33" fillId="0" borderId="48" xfId="0" applyFont="1" applyBorder="1" applyAlignment="1">
      <alignment horizontal="center" vertical="center" wrapText="1"/>
    </xf>
    <xf numFmtId="0" fontId="33" fillId="0" borderId="49" xfId="0" applyFont="1" applyBorder="1" applyAlignment="1">
      <alignment horizontal="center" vertical="center" wrapText="1"/>
    </xf>
    <xf numFmtId="0" fontId="32" fillId="25" borderId="12" xfId="0" applyFont="1" applyFill="1" applyBorder="1" applyAlignment="1">
      <alignment horizontal="center" vertical="center"/>
    </xf>
    <xf numFmtId="0" fontId="33" fillId="0" borderId="44" xfId="0" applyFont="1" applyBorder="1" applyAlignment="1">
      <alignment horizontal="center" vertical="center" wrapText="1"/>
    </xf>
    <xf numFmtId="0" fontId="33" fillId="0" borderId="45" xfId="0" applyFont="1" applyBorder="1" applyAlignment="1">
      <alignment horizontal="center" vertical="center" wrapText="1"/>
    </xf>
    <xf numFmtId="0" fontId="32" fillId="26" borderId="50" xfId="0" applyFont="1" applyFill="1" applyBorder="1" applyAlignment="1">
      <alignment horizontal="center" vertical="center"/>
    </xf>
    <xf numFmtId="0" fontId="32" fillId="0" borderId="11" xfId="0" applyFont="1" applyBorder="1" applyAlignment="1">
      <alignment horizontal="center" vertical="center" wrapText="1"/>
    </xf>
    <xf numFmtId="0" fontId="32" fillId="27" borderId="13" xfId="0" applyFont="1" applyFill="1" applyBorder="1" applyAlignment="1">
      <alignment vertical="center"/>
    </xf>
    <xf numFmtId="0" fontId="33" fillId="28" borderId="14" xfId="0" applyFont="1" applyFill="1" applyBorder="1" applyAlignment="1">
      <alignment horizontal="center" vertical="center"/>
    </xf>
    <xf numFmtId="0" fontId="33" fillId="28" borderId="15" xfId="0" applyFont="1" applyFill="1" applyBorder="1" applyAlignment="1">
      <alignment horizontal="center" vertical="center"/>
    </xf>
    <xf numFmtId="0" fontId="33" fillId="0" borderId="20" xfId="0" applyFont="1" applyBorder="1" applyAlignment="1">
      <alignment horizontal="center" vertical="center" wrapText="1"/>
    </xf>
    <xf numFmtId="0" fontId="33" fillId="29" borderId="13" xfId="0" applyFont="1" applyFill="1" applyBorder="1" applyAlignment="1">
      <alignment vertical="center"/>
    </xf>
    <xf numFmtId="0" fontId="33" fillId="28" borderId="17" xfId="0" applyFont="1" applyFill="1" applyBorder="1" applyAlignment="1">
      <alignment horizontal="center" vertical="center"/>
    </xf>
    <xf numFmtId="0" fontId="33" fillId="28" borderId="13" xfId="0" applyFont="1" applyFill="1" applyBorder="1" applyAlignment="1">
      <alignment horizontal="center" vertical="center"/>
    </xf>
    <xf numFmtId="0" fontId="33" fillId="0" borderId="51" xfId="0" applyFont="1" applyBorder="1" applyAlignment="1">
      <alignment horizontal="center" vertical="center" wrapText="1"/>
    </xf>
    <xf numFmtId="0" fontId="33" fillId="29" borderId="12" xfId="0" applyFont="1" applyFill="1" applyBorder="1" applyAlignment="1">
      <alignment vertical="center"/>
    </xf>
    <xf numFmtId="0" fontId="33" fillId="29" borderId="12" xfId="0" applyFont="1" applyFill="1" applyBorder="1" applyAlignment="1">
      <alignment horizontal="center" vertical="center"/>
    </xf>
    <xf numFmtId="1" fontId="33" fillId="29" borderId="12" xfId="0" applyNumberFormat="1" applyFont="1" applyFill="1" applyBorder="1" applyAlignment="1">
      <alignment horizontal="center" vertical="center"/>
    </xf>
    <xf numFmtId="0" fontId="33" fillId="0" borderId="52" xfId="0" applyFont="1" applyBorder="1" applyAlignment="1">
      <alignment horizontal="center" vertical="center" wrapText="1"/>
    </xf>
    <xf numFmtId="0" fontId="33" fillId="27" borderId="12" xfId="0" applyFont="1" applyFill="1" applyBorder="1" applyAlignment="1">
      <alignment horizontal="center" vertical="center"/>
    </xf>
    <xf numFmtId="0" fontId="0" fillId="27" borderId="3" xfId="0" applyFill="1" applyBorder="1" applyAlignment="1">
      <alignment vertical="center"/>
    </xf>
    <xf numFmtId="0" fontId="0" fillId="27" borderId="10" xfId="0" applyFill="1" applyBorder="1" applyAlignment="1">
      <alignment vertical="center"/>
    </xf>
    <xf numFmtId="1" fontId="19" fillId="27" borderId="10" xfId="0" applyNumberFormat="1" applyFont="1" applyFill="1" applyBorder="1" applyAlignment="1">
      <alignment horizontal="center" vertical="center"/>
    </xf>
    <xf numFmtId="0" fontId="33" fillId="29" borderId="13" xfId="0" applyFont="1" applyFill="1" applyBorder="1" applyAlignment="1">
      <alignment vertical="center" wrapText="1"/>
    </xf>
    <xf numFmtId="0" fontId="33" fillId="28" borderId="16" xfId="0" applyFont="1" applyFill="1" applyBorder="1" applyAlignment="1">
      <alignment horizontal="center" vertical="center"/>
    </xf>
    <xf numFmtId="0" fontId="33" fillId="28" borderId="53" xfId="0" applyFont="1" applyFill="1" applyBorder="1" applyAlignment="1">
      <alignment horizontal="center" vertical="center"/>
    </xf>
    <xf numFmtId="0" fontId="35" fillId="29" borderId="12" xfId="0" applyFont="1" applyFill="1" applyBorder="1" applyAlignment="1">
      <alignment horizontal="center" vertical="center"/>
    </xf>
    <xf numFmtId="0" fontId="12" fillId="29" borderId="13" xfId="0" applyFont="1" applyFill="1" applyBorder="1" applyAlignment="1">
      <alignment vertical="center" wrapText="1"/>
    </xf>
    <xf numFmtId="0" fontId="33" fillId="29" borderId="13" xfId="0" applyFont="1" applyFill="1" applyBorder="1" applyAlignment="1">
      <alignment horizontal="center" vertical="center"/>
    </xf>
    <xf numFmtId="0" fontId="32" fillId="30" borderId="13" xfId="0" applyFont="1" applyFill="1" applyBorder="1" applyAlignment="1">
      <alignment vertical="center"/>
    </xf>
    <xf numFmtId="1" fontId="32" fillId="30" borderId="13" xfId="0" applyNumberFormat="1" applyFont="1" applyFill="1" applyBorder="1" applyAlignment="1">
      <alignment horizontal="center" vertical="center"/>
    </xf>
    <xf numFmtId="0" fontId="33" fillId="0" borderId="21" xfId="0" applyFont="1" applyBorder="1" applyAlignment="1">
      <alignment horizontal="center" vertical="center" wrapText="1"/>
    </xf>
    <xf numFmtId="0" fontId="33" fillId="0" borderId="10" xfId="0" applyFont="1" applyBorder="1" applyAlignment="1">
      <alignment horizontal="center" vertical="center" wrapText="1"/>
    </xf>
    <xf numFmtId="0" fontId="0" fillId="0" borderId="54" xfId="0" applyBorder="1" applyAlignment="1">
      <alignment vertical="center"/>
    </xf>
    <xf numFmtId="0" fontId="32" fillId="30" borderId="11" xfId="0" applyFont="1" applyFill="1" applyBorder="1" applyAlignment="1">
      <alignment horizontal="center" vertical="center" wrapText="1"/>
    </xf>
    <xf numFmtId="0" fontId="0" fillId="0" borderId="55" xfId="0" applyBorder="1" applyAlignment="1">
      <alignment vertical="center"/>
    </xf>
    <xf numFmtId="0" fontId="29" fillId="0" borderId="13" xfId="0" applyFont="1" applyBorder="1" applyAlignment="1">
      <alignment vertical="center" wrapText="1"/>
    </xf>
    <xf numFmtId="0" fontId="33" fillId="29" borderId="12" xfId="0" applyFont="1" applyFill="1" applyBorder="1" applyAlignment="1">
      <alignment horizontal="center" vertical="center" wrapText="1"/>
    </xf>
    <xf numFmtId="0" fontId="33" fillId="30" borderId="13" xfId="0" applyFont="1" applyFill="1" applyBorder="1" applyAlignment="1">
      <alignment horizontal="center" vertical="center"/>
    </xf>
    <xf numFmtId="0" fontId="33" fillId="28" borderId="56" xfId="0" applyFont="1" applyFill="1" applyBorder="1" applyAlignment="1">
      <alignment horizontal="center" vertical="center"/>
    </xf>
    <xf numFmtId="0" fontId="32" fillId="30" borderId="13" xfId="0" applyFont="1" applyFill="1" applyBorder="1" applyAlignment="1">
      <alignment horizontal="center" vertical="center"/>
    </xf>
    <xf numFmtId="0" fontId="10" fillId="0" borderId="0" xfId="0" applyFont="1" applyAlignment="1">
      <alignment vertical="center"/>
    </xf>
    <xf numFmtId="0" fontId="18" fillId="30" borderId="12" xfId="0" applyFont="1" applyFill="1" applyBorder="1" applyAlignment="1">
      <alignment horizontal="center" vertical="center"/>
    </xf>
    <xf numFmtId="0" fontId="19" fillId="28" borderId="56" xfId="0" applyFont="1" applyFill="1" applyBorder="1" applyAlignment="1">
      <alignment horizontal="center" vertical="center" wrapText="1"/>
    </xf>
    <xf numFmtId="0" fontId="19" fillId="28" borderId="13" xfId="0" applyFont="1" applyFill="1" applyBorder="1" applyAlignment="1">
      <alignment horizontal="center" vertical="center" wrapText="1"/>
    </xf>
    <xf numFmtId="0" fontId="18" fillId="30" borderId="13" xfId="0" applyFont="1" applyFill="1" applyBorder="1" applyAlignment="1">
      <alignment horizontal="center" vertical="center"/>
    </xf>
    <xf numFmtId="0" fontId="19" fillId="28" borderId="56" xfId="0" applyFont="1" applyFill="1" applyBorder="1" applyAlignment="1">
      <alignment horizontal="center" vertical="center"/>
    </xf>
    <xf numFmtId="0" fontId="19" fillId="28" borderId="13" xfId="0" applyFont="1" applyFill="1" applyBorder="1" applyAlignment="1">
      <alignment horizontal="center" vertical="center"/>
    </xf>
    <xf numFmtId="0" fontId="18" fillId="30" borderId="13" xfId="0" applyFont="1" applyFill="1" applyBorder="1" applyAlignment="1">
      <alignment vertical="center"/>
    </xf>
    <xf numFmtId="0" fontId="18" fillId="0" borderId="11" xfId="0" applyFont="1" applyBorder="1" applyAlignment="1">
      <alignment horizontal="center" vertical="center" wrapText="1"/>
    </xf>
    <xf numFmtId="0" fontId="19" fillId="30" borderId="12" xfId="0" applyFont="1" applyFill="1" applyBorder="1" applyAlignment="1">
      <alignment horizontal="center" vertical="center"/>
    </xf>
    <xf numFmtId="0" fontId="19" fillId="28" borderId="53" xfId="0" applyFont="1" applyFill="1" applyBorder="1" applyAlignment="1">
      <alignment horizontal="center" vertical="center" wrapText="1"/>
    </xf>
    <xf numFmtId="0" fontId="19" fillId="28" borderId="0" xfId="0" applyFont="1" applyFill="1" applyAlignment="1">
      <alignment horizontal="center" vertical="center" wrapText="1"/>
    </xf>
    <xf numFmtId="0" fontId="19" fillId="30" borderId="13" xfId="0" applyFont="1" applyFill="1" applyBorder="1" applyAlignment="1">
      <alignment horizontal="center" vertical="center"/>
    </xf>
    <xf numFmtId="0" fontId="19" fillId="28" borderId="53" xfId="0" applyFont="1" applyFill="1" applyBorder="1" applyAlignment="1">
      <alignment horizontal="center" vertical="center"/>
    </xf>
    <xf numFmtId="0" fontId="19" fillId="28" borderId="0" xfId="0" applyFont="1" applyFill="1" applyAlignment="1">
      <alignment horizontal="center" vertical="center"/>
    </xf>
    <xf numFmtId="0" fontId="19" fillId="29" borderId="12" xfId="0" applyFont="1" applyFill="1" applyBorder="1" applyAlignment="1">
      <alignment horizontal="center" vertical="center" wrapText="1"/>
    </xf>
    <xf numFmtId="0" fontId="19" fillId="0" borderId="13" xfId="0" applyFont="1" applyBorder="1" applyAlignment="1">
      <alignment vertical="center" wrapText="1"/>
    </xf>
    <xf numFmtId="0" fontId="19" fillId="0" borderId="11" xfId="0" applyFont="1" applyBorder="1" applyAlignment="1">
      <alignment horizontal="center" vertical="center" wrapText="1"/>
    </xf>
    <xf numFmtId="0" fontId="19" fillId="29" borderId="12" xfId="0" applyFont="1" applyFill="1" applyBorder="1" applyAlignment="1">
      <alignment horizontal="center" vertical="center"/>
    </xf>
    <xf numFmtId="0" fontId="19" fillId="0" borderId="57" xfId="0" applyFont="1" applyBorder="1" applyAlignment="1">
      <alignment horizontal="center" vertical="center"/>
    </xf>
    <xf numFmtId="0" fontId="35" fillId="0" borderId="57" xfId="0" applyFont="1" applyBorder="1" applyAlignment="1">
      <alignment vertical="center"/>
    </xf>
    <xf numFmtId="0" fontId="18" fillId="30" borderId="11" xfId="0" applyFont="1" applyFill="1" applyBorder="1" applyAlignment="1">
      <alignment horizontal="center" vertical="center" wrapText="1"/>
    </xf>
    <xf numFmtId="0" fontId="19" fillId="0" borderId="54" xfId="0" applyFont="1" applyBorder="1" applyAlignment="1">
      <alignment horizontal="center" vertical="center"/>
    </xf>
    <xf numFmtId="0" fontId="35" fillId="0" borderId="54" xfId="0" applyFont="1" applyBorder="1" applyAlignment="1">
      <alignment vertical="center"/>
    </xf>
    <xf numFmtId="0" fontId="19" fillId="0" borderId="58" xfId="0" applyFont="1" applyBorder="1" applyAlignment="1">
      <alignment horizontal="center" vertical="center" wrapText="1"/>
    </xf>
    <xf numFmtId="0" fontId="19" fillId="0" borderId="21" xfId="0" applyFont="1" applyBorder="1" applyAlignment="1">
      <alignment horizontal="center" vertical="center" wrapText="1"/>
    </xf>
    <xf numFmtId="0" fontId="19" fillId="29" borderId="13" xfId="0" applyFont="1" applyFill="1" applyBorder="1" applyAlignment="1">
      <alignment horizontal="center" vertical="center"/>
    </xf>
    <xf numFmtId="0" fontId="19" fillId="29" borderId="13" xfId="0" applyFont="1" applyFill="1" applyBorder="1" applyAlignment="1">
      <alignment vertical="center"/>
    </xf>
    <xf numFmtId="0" fontId="35" fillId="29" borderId="13" xfId="0" applyFont="1" applyFill="1" applyBorder="1" applyAlignment="1">
      <alignment vertical="center" wrapText="1"/>
    </xf>
    <xf numFmtId="0" fontId="19" fillId="29" borderId="13" xfId="0" applyFont="1" applyFill="1" applyBorder="1" applyAlignment="1">
      <alignment vertical="center" wrapText="1"/>
    </xf>
    <xf numFmtId="0" fontId="19" fillId="27" borderId="12" xfId="0" applyFont="1" applyFill="1" applyBorder="1" applyAlignment="1">
      <alignment horizontal="center" vertical="center"/>
    </xf>
    <xf numFmtId="0" fontId="35" fillId="27" borderId="50" xfId="0" applyFont="1" applyFill="1" applyBorder="1" applyAlignment="1">
      <alignment vertical="center"/>
    </xf>
    <xf numFmtId="0" fontId="19" fillId="27" borderId="50" xfId="0" applyFont="1" applyFill="1" applyBorder="1" applyAlignment="1">
      <alignment horizontal="center" vertical="center"/>
    </xf>
    <xf numFmtId="0" fontId="19" fillId="0" borderId="52" xfId="0" applyFont="1" applyBorder="1" applyAlignment="1">
      <alignment horizontal="center" vertical="center" wrapText="1"/>
    </xf>
    <xf numFmtId="0" fontId="19" fillId="29" borderId="12" xfId="0" applyFont="1" applyFill="1" applyBorder="1" applyAlignment="1">
      <alignment vertical="center"/>
    </xf>
    <xf numFmtId="0" fontId="19" fillId="0" borderId="51" xfId="0" applyFont="1" applyBorder="1" applyAlignment="1">
      <alignment horizontal="center" vertical="center" wrapText="1"/>
    </xf>
    <xf numFmtId="0" fontId="19" fillId="28" borderId="17" xfId="0" applyFont="1" applyFill="1" applyBorder="1" applyAlignment="1">
      <alignment horizontal="center" vertical="center"/>
    </xf>
    <xf numFmtId="0" fontId="19" fillId="0" borderId="20" xfId="0" applyFont="1" applyBorder="1" applyAlignment="1">
      <alignment horizontal="center" vertical="center" wrapText="1"/>
    </xf>
    <xf numFmtId="0" fontId="19" fillId="28" borderId="42" xfId="0" applyFont="1" applyFill="1" applyBorder="1" applyAlignment="1">
      <alignment horizontal="center" vertical="center"/>
    </xf>
    <xf numFmtId="0" fontId="19" fillId="28" borderId="15" xfId="0" applyFont="1" applyFill="1" applyBorder="1" applyAlignment="1">
      <alignment horizontal="center" vertical="center"/>
    </xf>
    <xf numFmtId="0" fontId="19" fillId="28" borderId="14" xfId="0" applyFont="1" applyFill="1" applyBorder="1" applyAlignment="1">
      <alignment horizontal="center" vertical="center"/>
    </xf>
    <xf numFmtId="0" fontId="18" fillId="27" borderId="13" xfId="0" applyFont="1" applyFill="1" applyBorder="1" applyAlignment="1">
      <alignment vertical="center"/>
    </xf>
    <xf numFmtId="0" fontId="18" fillId="26" borderId="50" xfId="0" applyFont="1" applyFill="1" applyBorder="1" applyAlignment="1">
      <alignment horizontal="center" vertical="center"/>
    </xf>
    <xf numFmtId="0" fontId="19" fillId="0" borderId="45" xfId="0" applyFont="1" applyBorder="1" applyAlignment="1">
      <alignment horizontal="center" vertical="center" wrapText="1"/>
    </xf>
    <xf numFmtId="0" fontId="19" fillId="0" borderId="44" xfId="0" applyFont="1" applyBorder="1" applyAlignment="1">
      <alignment horizontal="center" vertical="center" wrapText="1"/>
    </xf>
    <xf numFmtId="0" fontId="18" fillId="25" borderId="12" xfId="0" applyFont="1" applyFill="1" applyBorder="1" applyAlignment="1">
      <alignment horizontal="center" vertical="center"/>
    </xf>
    <xf numFmtId="0" fontId="19" fillId="0" borderId="49" xfId="0" applyFont="1" applyBorder="1" applyAlignment="1">
      <alignment horizontal="center" vertical="center" wrapText="1"/>
    </xf>
    <xf numFmtId="0" fontId="19" fillId="0" borderId="48" xfId="0" applyFont="1" applyBorder="1" applyAlignment="1">
      <alignment horizontal="center" vertical="center" wrapText="1"/>
    </xf>
    <xf numFmtId="0" fontId="18" fillId="24" borderId="45" xfId="0" applyFont="1" applyFill="1" applyBorder="1" applyAlignment="1">
      <alignment horizontal="center" vertical="center" wrapText="1"/>
    </xf>
    <xf numFmtId="0" fontId="18" fillId="24" borderId="47" xfId="0" applyFont="1" applyFill="1" applyBorder="1" applyAlignment="1">
      <alignment horizontal="center" vertical="center" wrapText="1"/>
    </xf>
    <xf numFmtId="0" fontId="18" fillId="24" borderId="46" xfId="0" applyFont="1" applyFill="1" applyBorder="1" applyAlignment="1">
      <alignment horizontal="center" vertical="center" wrapText="1"/>
    </xf>
    <xf numFmtId="0" fontId="18" fillId="24" borderId="45" xfId="0" applyFont="1" applyFill="1" applyBorder="1" applyAlignment="1">
      <alignment horizontal="center" vertical="center"/>
    </xf>
    <xf numFmtId="0" fontId="18" fillId="24" borderId="44" xfId="0" applyFont="1" applyFill="1" applyBorder="1" applyAlignment="1">
      <alignment horizontal="center" vertical="center"/>
    </xf>
    <xf numFmtId="0" fontId="18" fillId="24" borderId="42" xfId="0" applyFont="1" applyFill="1" applyBorder="1" applyAlignment="1">
      <alignment horizontal="center" vertical="center" wrapText="1"/>
    </xf>
    <xf numFmtId="0" fontId="18" fillId="24" borderId="15" xfId="0" applyFont="1" applyFill="1" applyBorder="1" applyAlignment="1">
      <alignment horizontal="center" vertical="center" wrapText="1"/>
    </xf>
    <xf numFmtId="0" fontId="18" fillId="24" borderId="43" xfId="0" applyFont="1" applyFill="1" applyBorder="1" applyAlignment="1">
      <alignment horizontal="center" vertical="center" wrapText="1"/>
    </xf>
    <xf numFmtId="0" fontId="18" fillId="24" borderId="42" xfId="0" applyFont="1" applyFill="1" applyBorder="1" applyAlignment="1">
      <alignment horizontal="center" vertical="center"/>
    </xf>
    <xf numFmtId="0" fontId="18" fillId="24" borderId="14" xfId="0" applyFont="1" applyFill="1" applyBorder="1" applyAlignment="1">
      <alignment horizontal="center" vertical="center"/>
    </xf>
    <xf numFmtId="0" fontId="38" fillId="31" borderId="3" xfId="0" applyFont="1" applyFill="1" applyBorder="1" applyAlignment="1">
      <alignment horizontal="center" vertical="center"/>
    </xf>
    <xf numFmtId="0" fontId="38" fillId="31" borderId="10" xfId="0" applyFont="1" applyFill="1" applyBorder="1" applyAlignment="1">
      <alignment horizontal="center" vertical="center"/>
    </xf>
    <xf numFmtId="0" fontId="39" fillId="31" borderId="10" xfId="0" applyFont="1" applyFill="1" applyBorder="1" applyAlignment="1">
      <alignment horizontal="center" vertical="center"/>
    </xf>
    <xf numFmtId="0" fontId="38" fillId="31" borderId="17" xfId="0" applyFont="1" applyFill="1" applyBorder="1" applyAlignment="1">
      <alignment vertical="center"/>
    </xf>
    <xf numFmtId="0" fontId="38" fillId="31" borderId="13" xfId="0" applyFont="1" applyFill="1" applyBorder="1" applyAlignment="1">
      <alignment vertical="center"/>
    </xf>
    <xf numFmtId="0" fontId="38" fillId="31" borderId="21" xfId="0" applyFont="1" applyFill="1" applyBorder="1" applyAlignment="1">
      <alignment horizontal="center" vertical="center"/>
    </xf>
    <xf numFmtId="0" fontId="38" fillId="31" borderId="19" xfId="0" applyFont="1" applyFill="1" applyBorder="1" applyAlignment="1">
      <alignment horizontal="center" vertical="center"/>
    </xf>
    <xf numFmtId="0" fontId="38" fillId="31" borderId="58" xfId="0" applyFont="1" applyFill="1" applyBorder="1" applyAlignment="1">
      <alignment horizontal="center" vertical="center"/>
    </xf>
    <xf numFmtId="0" fontId="39" fillId="31" borderId="11" xfId="0" applyFont="1" applyFill="1" applyBorder="1" applyAlignment="1">
      <alignment horizontal="center" vertical="center"/>
    </xf>
    <xf numFmtId="0" fontId="39" fillId="31" borderId="12" xfId="0" applyFont="1" applyFill="1" applyBorder="1" applyAlignment="1">
      <alignment horizontal="center" vertical="center"/>
    </xf>
    <xf numFmtId="2" fontId="39" fillId="31" borderId="12" xfId="0" applyNumberFormat="1" applyFont="1" applyFill="1" applyBorder="1" applyAlignment="1">
      <alignment horizontal="center" vertical="center"/>
    </xf>
  </cellXfs>
  <cellStyles count="9">
    <cellStyle name="Accent1" xfId="4" builtinId="29"/>
    <cellStyle name="Comma" xfId="2" builtinId="3"/>
    <cellStyle name="Comma 2" xfId="5" xr:uid="{B7A75283-3F15-42B7-B8CB-BE075E266E2B}"/>
    <cellStyle name="Comma 3" xfId="6" xr:uid="{8C7462D3-380D-4849-B264-4FC167D4102D}"/>
    <cellStyle name="Hyperlink" xfId="3" builtinId="8"/>
    <cellStyle name="Normal" xfId="0" builtinId="0"/>
    <cellStyle name="Normal 2 2" xfId="7" xr:uid="{E09E753C-9F3B-403C-ADC4-4D95A127E9EB}"/>
    <cellStyle name="Normal 3" xfId="8" xr:uid="{627A28B3-0831-4297-9BCA-00DEEBA596DA}"/>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292100</xdr:colOff>
      <xdr:row>29</xdr:row>
      <xdr:rowOff>180974</xdr:rowOff>
    </xdr:to>
    <xdr:pic>
      <xdr:nvPicPr>
        <xdr:cNvPr id="2" name="Graphic 1">
          <a:extLst>
            <a:ext uri="{FF2B5EF4-FFF2-40B4-BE49-F238E27FC236}">
              <a16:creationId xmlns:a16="http://schemas.microsoft.com/office/drawing/2014/main" id="{BF1CDF1B-09B3-41F8-A839-3505D1C3A100}"/>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0" y="0"/>
          <a:ext cx="7607300" cy="570547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5.bin"/><Relationship Id="rId1" Type="http://schemas.openxmlformats.org/officeDocument/2006/relationships/hyperlink" Target="mailto:NPV@12%25"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6.bin"/><Relationship Id="rId1" Type="http://schemas.openxmlformats.org/officeDocument/2006/relationships/hyperlink" Target="mailto:NPV@12%25" TargetMode="External"/><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FFD474-79F2-4DD6-8E27-7FE40A0C5059}">
  <dimension ref="A1"/>
  <sheetViews>
    <sheetView showGridLines="0" tabSelected="1" workbookViewId="0">
      <selection activeCell="Q11" sqref="Q11"/>
    </sheetView>
  </sheetViews>
  <sheetFormatPr defaultRowHeight="15"/>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5C50BD-230C-469E-8904-05DB21D6F7AA}">
  <dimension ref="A1:O16"/>
  <sheetViews>
    <sheetView showGridLines="0" topLeftCell="A4" workbookViewId="0">
      <selection activeCell="B10" sqref="B10"/>
    </sheetView>
  </sheetViews>
  <sheetFormatPr defaultRowHeight="15"/>
  <cols>
    <col min="1" max="1" width="33.140625" bestFit="1" customWidth="1"/>
    <col min="2" max="2" width="22.5703125" bestFit="1" customWidth="1"/>
    <col min="4" max="4" width="2.140625" customWidth="1"/>
    <col min="5" max="5" width="13.28515625" bestFit="1" customWidth="1"/>
    <col min="6" max="9" width="14" bestFit="1" customWidth="1"/>
    <col min="10" max="10" width="15.5703125" bestFit="1" customWidth="1"/>
    <col min="11" max="14" width="14" bestFit="1" customWidth="1"/>
    <col min="15" max="15" width="2" bestFit="1" customWidth="1"/>
  </cols>
  <sheetData>
    <row r="1" spans="1:15">
      <c r="A1" s="126"/>
      <c r="B1" s="126"/>
      <c r="C1" s="126"/>
      <c r="D1" s="150"/>
      <c r="E1" s="69">
        <v>1</v>
      </c>
      <c r="F1" s="69">
        <v>2</v>
      </c>
      <c r="G1" s="69">
        <v>3</v>
      </c>
      <c r="H1" s="69">
        <v>4</v>
      </c>
      <c r="I1" s="69">
        <v>5</v>
      </c>
      <c r="J1" s="69">
        <v>6</v>
      </c>
      <c r="K1" s="70">
        <v>7</v>
      </c>
      <c r="L1" s="69">
        <v>8</v>
      </c>
      <c r="M1" s="70">
        <v>9</v>
      </c>
      <c r="N1" s="69">
        <v>10</v>
      </c>
      <c r="O1" s="151"/>
    </row>
    <row r="2" spans="1:15">
      <c r="A2" s="152" t="s">
        <v>145</v>
      </c>
      <c r="B2" s="126"/>
      <c r="C2" s="153"/>
      <c r="D2" s="150"/>
      <c r="E2" s="126"/>
      <c r="F2" s="126"/>
      <c r="G2" s="126"/>
      <c r="H2" s="126"/>
      <c r="I2" s="126"/>
      <c r="J2" s="126"/>
      <c r="K2" s="126"/>
      <c r="L2" s="126"/>
      <c r="M2" s="126"/>
      <c r="N2" s="126"/>
      <c r="O2" s="151"/>
    </row>
    <row r="3" spans="1:15">
      <c r="A3" s="126"/>
      <c r="B3" s="153" t="s">
        <v>146</v>
      </c>
      <c r="C3" s="126" t="s">
        <v>147</v>
      </c>
      <c r="D3" s="150"/>
      <c r="E3" s="154">
        <v>60</v>
      </c>
      <c r="F3" s="154">
        <v>60</v>
      </c>
      <c r="G3" s="154">
        <v>60</v>
      </c>
      <c r="H3" s="154">
        <v>60</v>
      </c>
      <c r="I3" s="154">
        <v>60</v>
      </c>
      <c r="J3" s="154">
        <v>60</v>
      </c>
      <c r="K3" s="154">
        <v>60</v>
      </c>
      <c r="L3" s="154">
        <v>60</v>
      </c>
      <c r="M3" s="154">
        <v>60</v>
      </c>
      <c r="N3" s="154">
        <v>60</v>
      </c>
      <c r="O3" s="151"/>
    </row>
    <row r="4" spans="1:15">
      <c r="A4" s="126"/>
      <c r="B4" s="153" t="s">
        <v>148</v>
      </c>
      <c r="C4" s="126"/>
      <c r="D4" s="150"/>
      <c r="E4" s="155">
        <f>'Cash Flow Epoxy Resin'!D9</f>
        <v>99455801.75999999</v>
      </c>
      <c r="F4" s="155">
        <f>'Cash Flow Epoxy Resin'!E9-'Cash Flow Epoxy Resin'!D9</f>
        <v>35141049.955200016</v>
      </c>
      <c r="G4" s="155">
        <f>'Cash Flow Epoxy Resin'!F9-'Cash Flow Epoxy Resin'!E9</f>
        <v>19095928.337093979</v>
      </c>
      <c r="H4" s="155">
        <f>'Cash Flow Epoxy Resin'!G9-'Cash Flow Epoxy Resin'!F9</f>
        <v>10971956.79817763</v>
      </c>
      <c r="I4" s="155">
        <f>'Cash Flow Epoxy Resin'!H9-'Cash Flow Epoxy Resin'!G9</f>
        <v>118815823.7854448</v>
      </c>
      <c r="J4" s="155">
        <f>'Cash Flow Epoxy Resin'!I9-'Cash Flow Epoxy Resin'!H9</f>
        <v>30780606.271678388</v>
      </c>
      <c r="K4" s="155">
        <f>'Cash Flow Epoxy Resin'!J9-'Cash Flow Epoxy Resin'!I9</f>
        <v>30086935.581778288</v>
      </c>
      <c r="L4" s="155">
        <f>'Cash Flow Epoxy Resin'!K9-'Cash Flow Epoxy Resin'!J9</f>
        <v>5190197.0433225632</v>
      </c>
      <c r="M4" s="155">
        <f>'Cash Flow Epoxy Resin'!L9-'Cash Flow Epoxy Resin'!K9</f>
        <v>5243074.4929903746</v>
      </c>
      <c r="N4" s="155">
        <f>'Cash Flow Epoxy Resin'!M9-'Cash Flow Epoxy Resin'!L9</f>
        <v>5321720.6103852987</v>
      </c>
      <c r="O4" s="155">
        <f>'Cash Flow'!N9-'Cash Flow'!M9</f>
        <v>-241793999.99999997</v>
      </c>
    </row>
    <row r="5" spans="1:15">
      <c r="A5" s="126"/>
      <c r="B5" s="153" t="s">
        <v>149</v>
      </c>
      <c r="C5" s="126"/>
      <c r="D5" s="150"/>
      <c r="E5" s="155">
        <f>+E4/365*E3</f>
        <v>16348898.919452053</v>
      </c>
      <c r="F5" s="155">
        <f t="shared" ref="F5:N5" si="0">+F4/365*F3</f>
        <v>5776610.9515397288</v>
      </c>
      <c r="G5" s="155">
        <f t="shared" si="0"/>
        <v>3139056.7129469556</v>
      </c>
      <c r="H5" s="155">
        <f t="shared" si="0"/>
        <v>1803609.3366867336</v>
      </c>
      <c r="I5" s="155">
        <f t="shared" si="0"/>
        <v>19531368.293497775</v>
      </c>
      <c r="J5" s="155">
        <f t="shared" si="0"/>
        <v>5059825.6884950772</v>
      </c>
      <c r="K5" s="155">
        <f t="shared" si="0"/>
        <v>4945797.6298813624</v>
      </c>
      <c r="L5" s="155">
        <f t="shared" si="0"/>
        <v>853183.07561466785</v>
      </c>
      <c r="M5" s="155">
        <f t="shared" si="0"/>
        <v>861875.25912170543</v>
      </c>
      <c r="N5" s="155">
        <f t="shared" si="0"/>
        <v>874803.38800854224</v>
      </c>
      <c r="O5" s="151"/>
    </row>
    <row r="6" spans="1:15">
      <c r="A6" s="126"/>
      <c r="B6" s="126"/>
      <c r="C6" s="126"/>
      <c r="D6" s="150"/>
      <c r="E6" s="126"/>
      <c r="F6" s="126"/>
      <c r="G6" s="126"/>
      <c r="H6" s="126"/>
      <c r="I6" s="126"/>
      <c r="J6" s="126"/>
      <c r="K6" s="126"/>
      <c r="L6" s="126"/>
      <c r="M6" s="126"/>
      <c r="N6" s="126"/>
      <c r="O6" s="151"/>
    </row>
    <row r="7" spans="1:15">
      <c r="A7" s="152" t="s">
        <v>150</v>
      </c>
      <c r="B7" s="126"/>
      <c r="C7" s="153"/>
      <c r="D7" s="150"/>
      <c r="E7" s="126"/>
      <c r="F7" s="126"/>
      <c r="G7" s="126"/>
      <c r="H7" s="126"/>
      <c r="I7" s="126"/>
      <c r="J7" s="126"/>
      <c r="K7" s="126"/>
      <c r="L7" s="126"/>
      <c r="M7" s="126"/>
      <c r="N7" s="126"/>
      <c r="O7" s="151"/>
    </row>
    <row r="8" spans="1:15">
      <c r="A8" s="126"/>
      <c r="B8" s="153" t="s">
        <v>151</v>
      </c>
      <c r="C8" s="126" t="s">
        <v>147</v>
      </c>
      <c r="D8" s="150"/>
      <c r="E8" s="154">
        <v>30</v>
      </c>
      <c r="F8" s="154">
        <v>30</v>
      </c>
      <c r="G8" s="154">
        <v>30</v>
      </c>
      <c r="H8" s="154">
        <v>30</v>
      </c>
      <c r="I8" s="154">
        <v>30</v>
      </c>
      <c r="J8" s="154">
        <v>30</v>
      </c>
      <c r="K8" s="154">
        <v>30</v>
      </c>
      <c r="L8" s="154">
        <v>30</v>
      </c>
      <c r="M8" s="154">
        <v>30</v>
      </c>
      <c r="N8" s="154">
        <v>30</v>
      </c>
      <c r="O8" s="151"/>
    </row>
    <row r="9" spans="1:15">
      <c r="A9" s="126"/>
      <c r="B9" s="153" t="s">
        <v>152</v>
      </c>
      <c r="C9" s="126"/>
      <c r="D9" s="150"/>
      <c r="E9" s="156">
        <f>'Cash Flow Epoxy Resin'!D33</f>
        <v>71306646.337891266</v>
      </c>
      <c r="F9" s="156">
        <f>'Cash Flow Epoxy Resin'!E33-'Cash Flow Epoxy Resin'!D33</f>
        <v>23105035.965234593</v>
      </c>
      <c r="G9" s="156">
        <f>'Cash Flow Epoxy Resin'!F33-'Cash Flow Epoxy Resin'!E33</f>
        <v>12585588.242086396</v>
      </c>
      <c r="H9" s="156">
        <f>'Cash Flow Epoxy Resin'!G33-'Cash Flow Epoxy Resin'!F33</f>
        <v>7266723.2541556507</v>
      </c>
      <c r="I9" s="156">
        <f>'Cash Flow Epoxy Resin'!H33-'Cash Flow Epoxy Resin'!G33</f>
        <v>76207867.124082327</v>
      </c>
      <c r="J9" s="156">
        <f>'Cash Flow Epoxy Resin'!I33-'Cash Flow Epoxy Resin'!H33</f>
        <v>28582618.813482821</v>
      </c>
      <c r="K9" s="156">
        <f>'Cash Flow Epoxy Resin'!J33-'Cash Flow Epoxy Resin'!I33</f>
        <v>20120468.754029304</v>
      </c>
      <c r="L9" s="156">
        <f>'Cash Flow Epoxy Resin'!K33-'Cash Flow Epoxy Resin'!J33</f>
        <v>3660927.2917563915</v>
      </c>
      <c r="M9" s="156">
        <f>'Cash Flow Epoxy Resin'!L33-'Cash Flow Epoxy Resin'!K33</f>
        <v>3942746.0540424287</v>
      </c>
      <c r="N9" s="156">
        <f>'Cash Flow Epoxy Resin'!M33-'Cash Flow Epoxy Resin'!L33</f>
        <v>4024245.4628867209</v>
      </c>
      <c r="O9" s="151"/>
    </row>
    <row r="10" spans="1:15">
      <c r="A10" s="126"/>
      <c r="B10" s="153" t="s">
        <v>153</v>
      </c>
      <c r="C10" s="126"/>
      <c r="D10" s="150"/>
      <c r="E10" s="155">
        <f>+E9/365*E8</f>
        <v>5860820.246949967</v>
      </c>
      <c r="F10" s="155">
        <f t="shared" ref="F10:N10" si="1">+F9/365*F8</f>
        <v>1899044.0519370898</v>
      </c>
      <c r="G10" s="155">
        <f t="shared" si="1"/>
        <v>1034431.9103084709</v>
      </c>
      <c r="H10" s="155">
        <f t="shared" si="1"/>
        <v>597264.92499909457</v>
      </c>
      <c r="I10" s="155">
        <f t="shared" si="1"/>
        <v>6263660.3115684101</v>
      </c>
      <c r="J10" s="155">
        <f t="shared" si="1"/>
        <v>2349256.3408342046</v>
      </c>
      <c r="K10" s="155">
        <f t="shared" si="1"/>
        <v>1653737.1578654223</v>
      </c>
      <c r="L10" s="155">
        <f t="shared" si="1"/>
        <v>300898.13356901845</v>
      </c>
      <c r="M10" s="155">
        <f>+M9/365*M8</f>
        <v>324061.31951033662</v>
      </c>
      <c r="N10" s="155">
        <f t="shared" si="1"/>
        <v>330759.90105918254</v>
      </c>
      <c r="O10" s="151"/>
    </row>
    <row r="11" spans="1:15">
      <c r="A11" s="126"/>
      <c r="B11" s="126"/>
      <c r="C11" s="126"/>
      <c r="D11" s="150"/>
      <c r="E11" s="126"/>
      <c r="F11" s="126"/>
      <c r="G11" s="126"/>
      <c r="H11" s="126"/>
      <c r="I11" s="126"/>
      <c r="J11" s="126"/>
      <c r="K11" s="126"/>
      <c r="L11" s="126"/>
      <c r="M11" s="126"/>
      <c r="N11" s="126"/>
      <c r="O11" s="151"/>
    </row>
    <row r="12" spans="1:15">
      <c r="A12" s="152" t="s">
        <v>154</v>
      </c>
      <c r="B12" s="126"/>
      <c r="C12" s="153"/>
      <c r="D12" s="150"/>
      <c r="E12" s="126"/>
      <c r="F12" s="126"/>
      <c r="G12" s="126"/>
      <c r="H12" s="126"/>
      <c r="I12" s="126"/>
      <c r="J12" s="126"/>
      <c r="K12" s="126"/>
      <c r="L12" s="126"/>
      <c r="M12" s="126"/>
      <c r="N12" s="126"/>
      <c r="O12" s="151"/>
    </row>
    <row r="13" spans="1:15">
      <c r="A13" s="126"/>
      <c r="B13" s="153" t="s">
        <v>155</v>
      </c>
      <c r="C13" s="126" t="s">
        <v>147</v>
      </c>
      <c r="D13" s="150"/>
      <c r="E13" s="154">
        <v>60</v>
      </c>
      <c r="F13" s="154">
        <v>60</v>
      </c>
      <c r="G13" s="154">
        <v>60</v>
      </c>
      <c r="H13" s="154">
        <v>60</v>
      </c>
      <c r="I13" s="154">
        <v>60</v>
      </c>
      <c r="J13" s="154">
        <v>60</v>
      </c>
      <c r="K13" s="154">
        <v>60</v>
      </c>
      <c r="L13" s="154">
        <v>60</v>
      </c>
      <c r="M13" s="154">
        <v>60</v>
      </c>
      <c r="N13" s="154">
        <v>60</v>
      </c>
      <c r="O13" s="151"/>
    </row>
    <row r="14" spans="1:15">
      <c r="A14" s="126"/>
      <c r="B14" s="153" t="s">
        <v>156</v>
      </c>
      <c r="C14" s="126"/>
      <c r="D14" s="150"/>
      <c r="E14" s="156">
        <f>-E9</f>
        <v>-71306646.337891266</v>
      </c>
      <c r="F14" s="156">
        <f t="shared" ref="F14:N14" si="2">-F9</f>
        <v>-23105035.965234593</v>
      </c>
      <c r="G14" s="156">
        <f t="shared" si="2"/>
        <v>-12585588.242086396</v>
      </c>
      <c r="H14" s="156">
        <f t="shared" si="2"/>
        <v>-7266723.2541556507</v>
      </c>
      <c r="I14" s="156">
        <f t="shared" si="2"/>
        <v>-76207867.124082327</v>
      </c>
      <c r="J14" s="156">
        <f t="shared" si="2"/>
        <v>-28582618.813482821</v>
      </c>
      <c r="K14" s="156">
        <f t="shared" si="2"/>
        <v>-20120468.754029304</v>
      </c>
      <c r="L14" s="156">
        <f t="shared" si="2"/>
        <v>-3660927.2917563915</v>
      </c>
      <c r="M14" s="156">
        <f>-M9</f>
        <v>-3942746.0540424287</v>
      </c>
      <c r="N14" s="156">
        <f t="shared" si="2"/>
        <v>-4024245.4628867209</v>
      </c>
      <c r="O14" s="151"/>
    </row>
    <row r="15" spans="1:15">
      <c r="A15" s="126"/>
      <c r="B15" s="153" t="s">
        <v>156</v>
      </c>
      <c r="C15" s="126"/>
      <c r="D15" s="150"/>
      <c r="E15" s="155">
        <f>+E14/365*E13</f>
        <v>-11721640.493899934</v>
      </c>
      <c r="F15" s="155">
        <f t="shared" ref="F15:N15" si="3">+F14/365*F13</f>
        <v>-3798088.1038741795</v>
      </c>
      <c r="G15" s="155">
        <f t="shared" si="3"/>
        <v>-2068863.8206169419</v>
      </c>
      <c r="H15" s="155">
        <f t="shared" si="3"/>
        <v>-1194529.8499981891</v>
      </c>
      <c r="I15" s="155">
        <f t="shared" si="3"/>
        <v>-12527320.62313682</v>
      </c>
      <c r="J15" s="155">
        <f t="shared" si="3"/>
        <v>-4698512.6816684091</v>
      </c>
      <c r="K15" s="155">
        <f t="shared" si="3"/>
        <v>-3307474.3157308446</v>
      </c>
      <c r="L15" s="155">
        <f t="shared" si="3"/>
        <v>-601796.2671380369</v>
      </c>
      <c r="M15" s="155">
        <f t="shared" si="3"/>
        <v>-648122.63902067323</v>
      </c>
      <c r="N15" s="155">
        <f t="shared" si="3"/>
        <v>-661519.80211836507</v>
      </c>
      <c r="O15" s="151"/>
    </row>
    <row r="16" spans="1:15">
      <c r="A16" s="126"/>
      <c r="B16" s="126"/>
      <c r="C16" s="126"/>
      <c r="D16" s="150"/>
      <c r="E16" s="126"/>
      <c r="F16" s="126"/>
      <c r="G16" s="126"/>
      <c r="H16" s="126"/>
      <c r="I16" s="126"/>
      <c r="J16" s="126"/>
      <c r="K16" s="126"/>
      <c r="L16" s="126"/>
      <c r="M16" s="126"/>
      <c r="N16" s="126"/>
      <c r="O16" s="151"/>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10BF92-02E3-480A-BA4F-B48A49BEA477}">
  <dimension ref="E3:N26"/>
  <sheetViews>
    <sheetView workbookViewId="0">
      <selection activeCell="F11" sqref="F11"/>
    </sheetView>
  </sheetViews>
  <sheetFormatPr defaultRowHeight="15"/>
  <cols>
    <col min="1" max="5" width="9.140625" style="208"/>
    <col min="6" max="6" width="36.28515625" style="208" customWidth="1"/>
    <col min="7" max="7" width="9.140625" style="208"/>
    <col min="8" max="8" width="12.85546875" style="208" customWidth="1"/>
    <col min="9" max="10" width="9.140625" style="208"/>
    <col min="11" max="11" width="15" style="208" customWidth="1"/>
    <col min="12" max="16384" width="9.140625" style="208"/>
  </cols>
  <sheetData>
    <row r="3" spans="5:14" ht="15.75" thickBot="1"/>
    <row r="4" spans="5:14">
      <c r="E4" s="399" t="s">
        <v>311</v>
      </c>
      <c r="F4" s="398"/>
      <c r="G4" s="397" t="s">
        <v>341</v>
      </c>
      <c r="H4" s="396"/>
      <c r="I4" s="395"/>
      <c r="J4" s="397" t="s">
        <v>340</v>
      </c>
      <c r="K4" s="396"/>
      <c r="L4" s="395"/>
      <c r="M4" s="295"/>
      <c r="N4" s="295"/>
    </row>
    <row r="5" spans="5:14" ht="15.75" thickBot="1">
      <c r="E5" s="394"/>
      <c r="F5" s="393"/>
      <c r="G5" s="392"/>
      <c r="H5" s="391"/>
      <c r="I5" s="390"/>
      <c r="J5" s="392"/>
      <c r="K5" s="391"/>
      <c r="L5" s="390"/>
      <c r="N5" s="295"/>
    </row>
    <row r="6" spans="5:14" ht="15.75" thickBot="1">
      <c r="E6" s="389"/>
      <c r="F6" s="388"/>
      <c r="G6" s="387" t="s">
        <v>313</v>
      </c>
      <c r="H6" s="387" t="s">
        <v>0</v>
      </c>
      <c r="I6" s="387" t="s">
        <v>314</v>
      </c>
      <c r="J6" s="387" t="s">
        <v>313</v>
      </c>
      <c r="K6" s="387" t="s">
        <v>0</v>
      </c>
      <c r="L6" s="387" t="s">
        <v>314</v>
      </c>
      <c r="M6" s="295"/>
      <c r="N6" s="295"/>
    </row>
    <row r="7" spans="5:14" ht="15.75" thickBot="1">
      <c r="E7" s="386"/>
      <c r="F7" s="385"/>
      <c r="G7" s="384" t="s">
        <v>315</v>
      </c>
      <c r="H7" s="384" t="s">
        <v>316</v>
      </c>
      <c r="I7" s="384" t="s">
        <v>317</v>
      </c>
      <c r="J7" s="384" t="s">
        <v>315</v>
      </c>
      <c r="K7" s="384" t="s">
        <v>316</v>
      </c>
      <c r="L7" s="384" t="s">
        <v>317</v>
      </c>
      <c r="M7" s="295"/>
      <c r="N7" s="295"/>
    </row>
    <row r="8" spans="5:14" ht="15.75" thickBot="1">
      <c r="E8" s="350" t="s">
        <v>1</v>
      </c>
      <c r="F8" s="383" t="s">
        <v>318</v>
      </c>
      <c r="G8" s="382"/>
      <c r="H8" s="381"/>
      <c r="I8" s="381"/>
      <c r="J8" s="381"/>
      <c r="K8" s="381"/>
      <c r="L8" s="380"/>
      <c r="M8" s="295"/>
      <c r="N8" s="295"/>
    </row>
    <row r="9" spans="5:14" ht="15.75" thickBot="1">
      <c r="E9" s="379">
        <v>1</v>
      </c>
      <c r="F9" s="369" t="s">
        <v>319</v>
      </c>
      <c r="G9" s="378"/>
      <c r="H9" s="348"/>
      <c r="I9" s="348"/>
      <c r="J9" s="348"/>
      <c r="K9" s="348"/>
      <c r="L9" s="347"/>
      <c r="M9" s="295"/>
      <c r="N9" s="295"/>
    </row>
    <row r="10" spans="5:14" ht="15.75" thickBot="1">
      <c r="E10" s="377"/>
      <c r="F10" s="376" t="s">
        <v>339</v>
      </c>
      <c r="G10" s="360">
        <v>0.7</v>
      </c>
      <c r="H10" s="360">
        <v>1625</v>
      </c>
      <c r="I10" s="360">
        <v>1137.5</v>
      </c>
      <c r="J10" s="360">
        <v>0.7</v>
      </c>
      <c r="K10" s="360">
        <v>1625</v>
      </c>
      <c r="L10" s="360">
        <v>1137.5</v>
      </c>
      <c r="M10" s="295"/>
      <c r="N10" s="295"/>
    </row>
    <row r="11" spans="5:14" ht="15.75" thickBot="1">
      <c r="E11" s="377"/>
      <c r="F11" s="376" t="s">
        <v>338</v>
      </c>
      <c r="G11" s="360">
        <v>0.56000000000000005</v>
      </c>
      <c r="H11" s="360">
        <v>1825.53</v>
      </c>
      <c r="I11" s="360">
        <v>1022.29</v>
      </c>
      <c r="J11" s="360">
        <v>0.57999999999999996</v>
      </c>
      <c r="K11" s="360">
        <v>1825.53</v>
      </c>
      <c r="L11" s="360">
        <v>1058.8</v>
      </c>
      <c r="M11" s="295"/>
      <c r="N11" s="295"/>
    </row>
    <row r="12" spans="5:14" ht="15.75" thickBot="1">
      <c r="E12" s="377"/>
      <c r="F12" s="376" t="s">
        <v>322</v>
      </c>
      <c r="G12" s="360">
        <v>0.5</v>
      </c>
      <c r="H12" s="360">
        <v>394.51</v>
      </c>
      <c r="I12" s="360">
        <v>197.26</v>
      </c>
      <c r="J12" s="360">
        <v>0.5</v>
      </c>
      <c r="K12" s="360">
        <v>394.51</v>
      </c>
      <c r="L12" s="360">
        <v>197.26</v>
      </c>
      <c r="M12" s="295"/>
      <c r="N12" s="295"/>
    </row>
    <row r="13" spans="5:14" ht="15.75" thickBot="1">
      <c r="E13" s="375"/>
      <c r="F13" s="372" t="s">
        <v>323</v>
      </c>
      <c r="G13" s="373"/>
      <c r="H13" s="373"/>
      <c r="I13" s="374">
        <v>2357.0500000000002</v>
      </c>
      <c r="J13" s="373"/>
      <c r="K13" s="373"/>
      <c r="L13" s="372">
        <v>2393.56</v>
      </c>
      <c r="M13" s="295"/>
      <c r="N13" s="295"/>
    </row>
    <row r="14" spans="5:14" ht="15.75" thickBot="1">
      <c r="E14" s="359"/>
      <c r="F14" s="371" t="s">
        <v>337</v>
      </c>
      <c r="G14" s="356"/>
      <c r="H14" s="355"/>
      <c r="I14" s="327">
        <v>57.49</v>
      </c>
      <c r="J14" s="353"/>
      <c r="K14" s="352"/>
      <c r="L14" s="327">
        <v>55.01</v>
      </c>
      <c r="M14" s="295"/>
      <c r="N14" s="295"/>
    </row>
    <row r="15" spans="5:14" ht="15.75" thickBot="1">
      <c r="E15" s="359"/>
      <c r="F15" s="370" t="s">
        <v>336</v>
      </c>
      <c r="G15" s="356"/>
      <c r="H15" s="355"/>
      <c r="I15" s="327">
        <v>350</v>
      </c>
      <c r="J15" s="353"/>
      <c r="K15" s="352"/>
      <c r="L15" s="327">
        <v>398</v>
      </c>
      <c r="M15" s="295"/>
      <c r="N15" s="295"/>
    </row>
    <row r="16" spans="5:14" ht="15.75" thickBot="1">
      <c r="E16" s="359"/>
      <c r="F16" s="370" t="s">
        <v>132</v>
      </c>
      <c r="G16" s="356"/>
      <c r="H16" s="355"/>
      <c r="I16" s="327">
        <v>30.48</v>
      </c>
      <c r="J16" s="353"/>
      <c r="K16" s="352"/>
      <c r="L16" s="327">
        <v>17.600000000000001</v>
      </c>
      <c r="M16" s="295"/>
      <c r="N16" s="295"/>
    </row>
    <row r="17" spans="5:14" ht="30.75" thickBot="1">
      <c r="E17" s="359"/>
      <c r="F17" s="370" t="s">
        <v>327</v>
      </c>
      <c r="G17" s="356"/>
      <c r="H17" s="355"/>
      <c r="I17" s="327">
        <v>449</v>
      </c>
      <c r="J17" s="353"/>
      <c r="K17" s="352"/>
      <c r="L17" s="327">
        <v>378</v>
      </c>
      <c r="M17" s="295"/>
      <c r="N17" s="295"/>
    </row>
    <row r="18" spans="5:14" ht="15.75" thickBot="1">
      <c r="E18" s="359"/>
      <c r="F18" s="369"/>
      <c r="G18" s="356"/>
      <c r="H18" s="355"/>
      <c r="I18" s="368"/>
      <c r="J18" s="353"/>
      <c r="K18" s="352"/>
      <c r="L18" s="360"/>
      <c r="M18" s="295"/>
      <c r="N18" s="295"/>
    </row>
    <row r="19" spans="5:14" ht="15.75" thickBot="1">
      <c r="E19" s="350"/>
      <c r="F19" s="349" t="s">
        <v>328</v>
      </c>
      <c r="G19" s="356"/>
      <c r="H19" s="355"/>
      <c r="I19" s="346">
        <f>I13+I14+I15+I16+I17</f>
        <v>3244.02</v>
      </c>
      <c r="J19" s="353"/>
      <c r="K19" s="352"/>
      <c r="L19" s="343">
        <v>3242.17</v>
      </c>
      <c r="M19" s="295"/>
      <c r="N19" s="295"/>
    </row>
    <row r="20" spans="5:14" ht="15.75" thickBot="1">
      <c r="E20" s="367"/>
      <c r="F20" s="366"/>
      <c r="G20" s="356"/>
      <c r="H20" s="355"/>
      <c r="I20" s="365"/>
      <c r="J20" s="353"/>
      <c r="K20" s="352"/>
      <c r="L20" s="364"/>
      <c r="M20" s="295"/>
      <c r="N20" s="295"/>
    </row>
    <row r="21" spans="5:14" ht="15.75" thickBot="1">
      <c r="E21" s="363" t="s">
        <v>2</v>
      </c>
      <c r="F21" s="349" t="s">
        <v>329</v>
      </c>
      <c r="G21" s="356"/>
      <c r="H21" s="355"/>
      <c r="I21" s="362"/>
      <c r="J21" s="353"/>
      <c r="K21" s="352"/>
      <c r="L21" s="361"/>
      <c r="M21" s="295"/>
      <c r="N21" s="295"/>
    </row>
    <row r="22" spans="5:14" ht="15.75" thickBot="1">
      <c r="E22" s="359">
        <v>1</v>
      </c>
      <c r="F22" s="358" t="s">
        <v>298</v>
      </c>
      <c r="G22" s="356"/>
      <c r="H22" s="355"/>
      <c r="I22" s="360">
        <v>10.64</v>
      </c>
      <c r="J22" s="353"/>
      <c r="K22" s="352"/>
      <c r="L22" s="360">
        <v>20.170000000000002</v>
      </c>
      <c r="M22" s="295"/>
      <c r="N22" s="295"/>
    </row>
    <row r="23" spans="5:14" ht="15.75" thickBot="1">
      <c r="E23" s="359">
        <v>2</v>
      </c>
      <c r="F23" s="358" t="s">
        <v>330</v>
      </c>
      <c r="G23" s="356"/>
      <c r="H23" s="355"/>
      <c r="I23" s="357">
        <v>18.5</v>
      </c>
      <c r="J23" s="353"/>
      <c r="K23" s="352"/>
      <c r="L23" s="357">
        <v>21.8</v>
      </c>
      <c r="M23" s="295"/>
      <c r="N23" s="295"/>
    </row>
    <row r="24" spans="5:14" ht="15.75" thickBot="1">
      <c r="E24" s="359">
        <v>3</v>
      </c>
      <c r="F24" s="358" t="s">
        <v>299</v>
      </c>
      <c r="G24" s="356"/>
      <c r="H24" s="355"/>
      <c r="I24" s="357">
        <v>4.1100000000000003</v>
      </c>
      <c r="J24" s="353"/>
      <c r="K24" s="352"/>
      <c r="L24" s="357">
        <v>4.8499999999999996</v>
      </c>
      <c r="M24" s="295"/>
      <c r="N24" s="295"/>
    </row>
    <row r="25" spans="5:14" ht="15.75" thickBot="1">
      <c r="E25" s="350"/>
      <c r="F25" s="349" t="s">
        <v>331</v>
      </c>
      <c r="G25" s="356"/>
      <c r="H25" s="355"/>
      <c r="I25" s="354">
        <f>I24+I23+I22</f>
        <v>33.25</v>
      </c>
      <c r="J25" s="353"/>
      <c r="K25" s="352"/>
      <c r="L25" s="351">
        <v>74.7</v>
      </c>
      <c r="M25" s="295"/>
      <c r="N25" s="295"/>
    </row>
    <row r="26" spans="5:14" ht="15.75" thickBot="1">
      <c r="E26" s="350" t="s">
        <v>3</v>
      </c>
      <c r="F26" s="349" t="s">
        <v>332</v>
      </c>
      <c r="G26" s="348"/>
      <c r="H26" s="347"/>
      <c r="I26" s="346">
        <f>I19+I25</f>
        <v>3277.27</v>
      </c>
      <c r="J26" s="345"/>
      <c r="K26" s="344"/>
      <c r="L26" s="343">
        <v>3363.69</v>
      </c>
      <c r="M26" s="295"/>
      <c r="N26" s="295"/>
    </row>
  </sheetData>
  <mergeCells count="11">
    <mergeCell ref="G14:H26"/>
    <mergeCell ref="J14:K26"/>
    <mergeCell ref="E20:F20"/>
    <mergeCell ref="I20:I21"/>
    <mergeCell ref="L20:L21"/>
    <mergeCell ref="E4:F5"/>
    <mergeCell ref="G4:I5"/>
    <mergeCell ref="J4:L5"/>
    <mergeCell ref="E6:F7"/>
    <mergeCell ref="G8:L9"/>
    <mergeCell ref="E9:E1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F7BE59-51C9-4BAE-B656-693B026290F8}">
  <dimension ref="A1:F27"/>
  <sheetViews>
    <sheetView zoomScaleNormal="100" workbookViewId="0">
      <selection activeCell="G15" sqref="G15"/>
    </sheetView>
  </sheetViews>
  <sheetFormatPr defaultRowHeight="15"/>
  <cols>
    <col min="1" max="1" width="9.140625" style="208"/>
    <col min="2" max="2" width="34.140625" style="208" customWidth="1"/>
    <col min="3" max="3" width="19.85546875" style="208" customWidth="1"/>
    <col min="4" max="4" width="16.7109375" style="208" customWidth="1"/>
    <col min="5" max="5" width="16.42578125" style="208" customWidth="1"/>
    <col min="6" max="7" width="9.140625" style="208"/>
    <col min="8" max="8" width="23.140625" style="208" bestFit="1" customWidth="1"/>
    <col min="9" max="9" width="9.140625" style="208"/>
    <col min="10" max="10" width="11.140625" style="208" bestFit="1" customWidth="1"/>
    <col min="11" max="16384" width="9.140625" style="208"/>
  </cols>
  <sheetData>
    <row r="1" spans="1:6">
      <c r="A1" s="290" t="s">
        <v>311</v>
      </c>
      <c r="B1" s="291"/>
      <c r="C1" s="292" t="s">
        <v>312</v>
      </c>
      <c r="D1" s="293"/>
      <c r="E1" s="294"/>
      <c r="F1" s="295"/>
    </row>
    <row r="2" spans="1:6" ht="15.75" thickBot="1">
      <c r="A2" s="296"/>
      <c r="B2" s="297"/>
      <c r="C2" s="298"/>
      <c r="D2" s="299"/>
      <c r="E2" s="300"/>
      <c r="F2" s="295"/>
    </row>
    <row r="3" spans="1:6" ht="15.75" thickBot="1">
      <c r="A3" s="301"/>
      <c r="B3" s="302"/>
      <c r="C3" s="303" t="s">
        <v>313</v>
      </c>
      <c r="D3" s="303" t="s">
        <v>0</v>
      </c>
      <c r="E3" s="303" t="s">
        <v>314</v>
      </c>
      <c r="F3" s="295"/>
    </row>
    <row r="4" spans="1:6" ht="15.75" thickBot="1">
      <c r="A4" s="304"/>
      <c r="B4" s="305"/>
      <c r="C4" s="306" t="s">
        <v>315</v>
      </c>
      <c r="D4" s="306" t="s">
        <v>316</v>
      </c>
      <c r="E4" s="306" t="s">
        <v>317</v>
      </c>
      <c r="F4" s="295"/>
    </row>
    <row r="5" spans="1:6" ht="15.75" thickBot="1">
      <c r="A5" s="307" t="s">
        <v>1</v>
      </c>
      <c r="B5" s="308" t="s">
        <v>318</v>
      </c>
      <c r="C5" s="309"/>
      <c r="D5" s="310"/>
      <c r="E5" s="310"/>
      <c r="F5" s="295"/>
    </row>
    <row r="6" spans="1:6" ht="15.75" thickBot="1">
      <c r="A6" s="311">
        <v>1</v>
      </c>
      <c r="B6" s="312" t="s">
        <v>319</v>
      </c>
      <c r="C6" s="313"/>
      <c r="D6" s="314"/>
      <c r="E6" s="314"/>
      <c r="F6" s="295"/>
    </row>
    <row r="7" spans="1:6" ht="15.75" thickBot="1">
      <c r="A7" s="315"/>
      <c r="B7" s="316" t="s">
        <v>320</v>
      </c>
      <c r="C7" s="317">
        <v>0.73099999999999998</v>
      </c>
      <c r="D7" s="318">
        <f>'Liquid Epoxy Resin'!I10+'Liquid Epoxy Resin'!I11+'Liquid Epoxy Resin'!I12</f>
        <v>2357.0500000000002</v>
      </c>
      <c r="E7" s="318">
        <f>D7*C7</f>
        <v>1723.0035500000001</v>
      </c>
      <c r="F7" s="295"/>
    </row>
    <row r="8" spans="1:6" ht="15.75" thickBot="1">
      <c r="A8" s="315"/>
      <c r="B8" s="316" t="s">
        <v>321</v>
      </c>
      <c r="C8" s="317">
        <f>(0.912-'Liquid Epoxy Resin'!G10)*0.7</f>
        <v>0.14840000000000003</v>
      </c>
      <c r="D8" s="318">
        <v>1625</v>
      </c>
      <c r="E8" s="318">
        <f>D8*C8</f>
        <v>241.15000000000006</v>
      </c>
      <c r="F8" s="295"/>
    </row>
    <row r="9" spans="1:6" ht="15.75" thickBot="1">
      <c r="A9" s="315"/>
      <c r="B9" s="316" t="s">
        <v>322</v>
      </c>
      <c r="C9" s="317">
        <v>0.19400000000000001</v>
      </c>
      <c r="D9" s="318">
        <v>394.51</v>
      </c>
      <c r="E9" s="318">
        <f>C9*D9</f>
        <v>76.534940000000006</v>
      </c>
      <c r="F9" s="295"/>
    </row>
    <row r="10" spans="1:6" ht="15.75" thickBot="1">
      <c r="A10" s="319"/>
      <c r="B10" s="320" t="s">
        <v>323</v>
      </c>
      <c r="C10" s="321"/>
      <c r="D10" s="322"/>
      <c r="E10" s="323">
        <f>SUM(E7:E9)</f>
        <v>2040.6884900000002</v>
      </c>
    </row>
    <row r="11" spans="1:6" ht="15.75" thickBot="1">
      <c r="A11" s="248"/>
      <c r="B11" s="324" t="s">
        <v>324</v>
      </c>
      <c r="C11" s="325"/>
      <c r="D11" s="326"/>
      <c r="E11" s="327">
        <v>57.49</v>
      </c>
    </row>
    <row r="12" spans="1:6" ht="15.75" thickBot="1">
      <c r="A12" s="248"/>
      <c r="B12" s="328" t="s">
        <v>325</v>
      </c>
      <c r="C12" s="325"/>
      <c r="D12" s="326"/>
      <c r="E12" s="327">
        <v>360</v>
      </c>
    </row>
    <row r="13" spans="1:6" ht="15.75" thickBot="1">
      <c r="A13" s="248"/>
      <c r="B13" s="328" t="s">
        <v>326</v>
      </c>
      <c r="C13" s="325"/>
      <c r="D13" s="326"/>
      <c r="E13" s="327">
        <v>30.47</v>
      </c>
    </row>
    <row r="14" spans="1:6" ht="30.75" thickBot="1">
      <c r="A14" s="248"/>
      <c r="B14" s="328" t="s">
        <v>327</v>
      </c>
      <c r="C14" s="325"/>
      <c r="D14" s="326"/>
      <c r="E14" s="327">
        <v>410.41</v>
      </c>
    </row>
    <row r="15" spans="1:6" ht="15.75" thickBot="1">
      <c r="A15" s="248"/>
      <c r="B15" s="312"/>
      <c r="C15" s="325"/>
      <c r="D15" s="326"/>
      <c r="E15" s="329"/>
      <c r="F15" s="295"/>
    </row>
    <row r="16" spans="1:6" ht="15.75" thickBot="1">
      <c r="A16" s="307"/>
      <c r="B16" s="330" t="s">
        <v>328</v>
      </c>
      <c r="C16" s="325"/>
      <c r="D16" s="326"/>
      <c r="E16" s="331">
        <f>E10+E11+E12+E13+E14</f>
        <v>2899.0584899999999</v>
      </c>
      <c r="F16" s="295"/>
    </row>
    <row r="17" spans="1:6" ht="15.75" thickBot="1">
      <c r="A17" s="332"/>
      <c r="B17" s="333"/>
      <c r="C17" s="325"/>
      <c r="D17" s="326"/>
      <c r="E17" s="334"/>
      <c r="F17" s="295"/>
    </row>
    <row r="18" spans="1:6" ht="15.75" thickBot="1">
      <c r="A18" s="335" t="s">
        <v>2</v>
      </c>
      <c r="B18" s="330" t="s">
        <v>329</v>
      </c>
      <c r="C18" s="325"/>
      <c r="D18" s="326"/>
      <c r="E18" s="336"/>
      <c r="F18" s="295"/>
    </row>
    <row r="19" spans="1:6" ht="15.75" thickBot="1">
      <c r="A19" s="248">
        <v>1</v>
      </c>
      <c r="B19" s="337" t="s">
        <v>298</v>
      </c>
      <c r="C19" s="325"/>
      <c r="D19" s="326"/>
      <c r="E19" s="317">
        <v>10.64</v>
      </c>
      <c r="F19" s="295"/>
    </row>
    <row r="20" spans="1:6" ht="15.75" thickBot="1">
      <c r="A20" s="248">
        <v>2</v>
      </c>
      <c r="B20" s="337" t="s">
        <v>330</v>
      </c>
      <c r="C20" s="325"/>
      <c r="D20" s="326"/>
      <c r="E20" s="338">
        <v>18.5</v>
      </c>
      <c r="F20" s="295"/>
    </row>
    <row r="21" spans="1:6" ht="15.75" thickBot="1">
      <c r="A21" s="248">
        <v>3</v>
      </c>
      <c r="B21" s="337" t="s">
        <v>299</v>
      </c>
      <c r="C21" s="325"/>
      <c r="D21" s="326"/>
      <c r="E21" s="338">
        <v>4.1100000000000003</v>
      </c>
      <c r="F21" s="295"/>
    </row>
    <row r="22" spans="1:6" ht="15.75" thickBot="1">
      <c r="A22" s="307"/>
      <c r="B22" s="330" t="s">
        <v>331</v>
      </c>
      <c r="C22" s="325"/>
      <c r="D22" s="326"/>
      <c r="E22" s="339">
        <f>E19+E20+E21</f>
        <v>33.25</v>
      </c>
      <c r="F22" s="295"/>
    </row>
    <row r="23" spans="1:6" ht="15.75" thickBot="1">
      <c r="A23" s="307" t="s">
        <v>3</v>
      </c>
      <c r="B23" s="330" t="s">
        <v>332</v>
      </c>
      <c r="C23" s="313"/>
      <c r="D23" s="340"/>
      <c r="E23" s="341">
        <f>E16+E22</f>
        <v>2932.3084899999999</v>
      </c>
      <c r="F23" s="295"/>
    </row>
    <row r="24" spans="1:6">
      <c r="A24" s="342" t="s">
        <v>333</v>
      </c>
    </row>
    <row r="25" spans="1:6">
      <c r="A25" s="342" t="s">
        <v>334</v>
      </c>
    </row>
    <row r="26" spans="1:6">
      <c r="A26" s="342" t="s">
        <v>333</v>
      </c>
    </row>
    <row r="27" spans="1:6">
      <c r="A27" s="342" t="s">
        <v>335</v>
      </c>
    </row>
  </sheetData>
  <mergeCells count="8">
    <mergeCell ref="A1:B2"/>
    <mergeCell ref="C1:E2"/>
    <mergeCell ref="A3:B4"/>
    <mergeCell ref="C5:E6"/>
    <mergeCell ref="A6:A10"/>
    <mergeCell ref="C11:D23"/>
    <mergeCell ref="A17:B17"/>
    <mergeCell ref="E17:E18"/>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5B55F2-A784-4471-AE00-36EB557BC215}">
  <dimension ref="B1:F28"/>
  <sheetViews>
    <sheetView workbookViewId="0">
      <selection activeCell="G13" sqref="G13"/>
    </sheetView>
  </sheetViews>
  <sheetFormatPr defaultRowHeight="15"/>
  <cols>
    <col min="1" max="2" width="9.140625" style="208"/>
    <col min="3" max="3" width="24.5703125" style="208" customWidth="1"/>
    <col min="4" max="4" width="17.140625" style="208" customWidth="1"/>
    <col min="5" max="5" width="22.140625" style="208" customWidth="1"/>
    <col min="6" max="6" width="25.7109375" style="208" customWidth="1"/>
    <col min="7" max="16384" width="9.140625" style="208"/>
  </cols>
  <sheetData>
    <row r="1" spans="2:6" ht="15.75" thickBot="1"/>
    <row r="2" spans="2:6">
      <c r="B2" s="290" t="s">
        <v>311</v>
      </c>
      <c r="C2" s="291"/>
      <c r="D2" s="292" t="s">
        <v>312</v>
      </c>
      <c r="E2" s="293"/>
      <c r="F2" s="294"/>
    </row>
    <row r="3" spans="2:6" ht="15.75" thickBot="1">
      <c r="B3" s="296"/>
      <c r="C3" s="297"/>
      <c r="D3" s="298"/>
      <c r="E3" s="299"/>
      <c r="F3" s="300"/>
    </row>
    <row r="4" spans="2:6" ht="15.75" thickBot="1">
      <c r="B4" s="301"/>
      <c r="C4" s="302"/>
      <c r="D4" s="303" t="s">
        <v>313</v>
      </c>
      <c r="E4" s="303" t="s">
        <v>0</v>
      </c>
      <c r="F4" s="303" t="s">
        <v>314</v>
      </c>
    </row>
    <row r="5" spans="2:6" ht="15.75" thickBot="1">
      <c r="B5" s="304"/>
      <c r="C5" s="305"/>
      <c r="D5" s="306" t="s">
        <v>315</v>
      </c>
      <c r="E5" s="306" t="s">
        <v>316</v>
      </c>
      <c r="F5" s="306" t="s">
        <v>317</v>
      </c>
    </row>
    <row r="6" spans="2:6" ht="15.75" thickBot="1">
      <c r="B6" s="307" t="s">
        <v>1</v>
      </c>
      <c r="C6" s="308" t="s">
        <v>318</v>
      </c>
      <c r="D6" s="309"/>
      <c r="E6" s="310"/>
      <c r="F6" s="310"/>
    </row>
    <row r="7" spans="2:6" ht="15.75" thickBot="1">
      <c r="B7" s="311">
        <v>1</v>
      </c>
      <c r="C7" s="312" t="s">
        <v>319</v>
      </c>
      <c r="D7" s="313"/>
      <c r="E7" s="314"/>
      <c r="F7" s="314"/>
    </row>
    <row r="8" spans="2:6" ht="15.75" thickBot="1">
      <c r="B8" s="315"/>
      <c r="C8" s="316" t="s">
        <v>320</v>
      </c>
      <c r="D8" s="317">
        <v>0.79</v>
      </c>
      <c r="E8" s="318">
        <v>2373</v>
      </c>
      <c r="F8" s="318">
        <f>D8*E8</f>
        <v>1874.67</v>
      </c>
    </row>
    <row r="9" spans="2:6" ht="15.75" thickBot="1">
      <c r="B9" s="315"/>
      <c r="C9" s="316" t="s">
        <v>321</v>
      </c>
      <c r="D9" s="317">
        <v>0.11</v>
      </c>
      <c r="E9" s="318">
        <v>1625</v>
      </c>
      <c r="F9" s="318">
        <f t="shared" ref="F9:F10" si="0">D9*E9</f>
        <v>178.75</v>
      </c>
    </row>
    <row r="10" spans="2:6" ht="15.75" thickBot="1">
      <c r="B10" s="315"/>
      <c r="C10" s="316" t="s">
        <v>322</v>
      </c>
      <c r="D10" s="317">
        <v>0.17</v>
      </c>
      <c r="E10" s="318">
        <v>394.51</v>
      </c>
      <c r="F10" s="318">
        <f t="shared" si="0"/>
        <v>67.066699999999997</v>
      </c>
    </row>
    <row r="11" spans="2:6" ht="15.75" thickBot="1">
      <c r="B11" s="319"/>
      <c r="C11" s="320" t="s">
        <v>323</v>
      </c>
      <c r="D11" s="321"/>
      <c r="E11" s="322"/>
      <c r="F11" s="323">
        <f>SUM(F8:F10)</f>
        <v>2120.4866999999999</v>
      </c>
    </row>
    <row r="12" spans="2:6" ht="15.75" thickBot="1">
      <c r="B12" s="248"/>
      <c r="C12" s="324" t="s">
        <v>324</v>
      </c>
      <c r="D12" s="325"/>
      <c r="E12" s="326"/>
      <c r="F12" s="327">
        <v>57.49</v>
      </c>
    </row>
    <row r="13" spans="2:6" ht="15.75" thickBot="1">
      <c r="B13" s="248"/>
      <c r="C13" s="328" t="s">
        <v>325</v>
      </c>
      <c r="D13" s="325"/>
      <c r="E13" s="326"/>
      <c r="F13" s="327">
        <v>305</v>
      </c>
    </row>
    <row r="14" spans="2:6" ht="15.75" thickBot="1">
      <c r="B14" s="248"/>
      <c r="C14" s="328" t="s">
        <v>326</v>
      </c>
      <c r="D14" s="325"/>
      <c r="E14" s="326"/>
      <c r="F14" s="327">
        <v>30.47</v>
      </c>
    </row>
    <row r="15" spans="2:6" ht="45.75" thickBot="1">
      <c r="B15" s="248"/>
      <c r="C15" s="328" t="s">
        <v>327</v>
      </c>
      <c r="D15" s="325"/>
      <c r="E15" s="326"/>
      <c r="F15" s="327">
        <v>414.52</v>
      </c>
    </row>
    <row r="16" spans="2:6" ht="15.75" thickBot="1">
      <c r="B16" s="248"/>
      <c r="C16" s="312"/>
      <c r="D16" s="325"/>
      <c r="E16" s="326"/>
      <c r="F16" s="329"/>
    </row>
    <row r="17" spans="2:6" ht="15.75" thickBot="1">
      <c r="B17" s="307"/>
      <c r="C17" s="330" t="s">
        <v>328</v>
      </c>
      <c r="D17" s="325"/>
      <c r="E17" s="326"/>
      <c r="F17" s="331">
        <f>F11+F12+F13+F14+F15</f>
        <v>2927.9666999999995</v>
      </c>
    </row>
    <row r="18" spans="2:6" ht="15.75" thickBot="1">
      <c r="B18" s="332"/>
      <c r="C18" s="333"/>
      <c r="D18" s="325"/>
      <c r="E18" s="326"/>
      <c r="F18" s="334"/>
    </row>
    <row r="19" spans="2:6" ht="15.75" thickBot="1">
      <c r="B19" s="335" t="s">
        <v>2</v>
      </c>
      <c r="C19" s="330" t="s">
        <v>329</v>
      </c>
      <c r="D19" s="325"/>
      <c r="E19" s="326"/>
      <c r="F19" s="336"/>
    </row>
    <row r="20" spans="2:6" ht="15.75" thickBot="1">
      <c r="B20" s="248">
        <v>1</v>
      </c>
      <c r="C20" s="337" t="s">
        <v>298</v>
      </c>
      <c r="D20" s="325"/>
      <c r="E20" s="326"/>
      <c r="F20" s="317">
        <v>10.64</v>
      </c>
    </row>
    <row r="21" spans="2:6" ht="15.75" thickBot="1">
      <c r="B21" s="248">
        <v>2</v>
      </c>
      <c r="C21" s="337" t="s">
        <v>330</v>
      </c>
      <c r="D21" s="325"/>
      <c r="E21" s="326"/>
      <c r="F21" s="338">
        <v>18.5</v>
      </c>
    </row>
    <row r="22" spans="2:6" ht="15.75" thickBot="1">
      <c r="B22" s="248">
        <v>3</v>
      </c>
      <c r="C22" s="337" t="s">
        <v>299</v>
      </c>
      <c r="D22" s="325"/>
      <c r="E22" s="326"/>
      <c r="F22" s="338">
        <v>4.1100000000000003</v>
      </c>
    </row>
    <row r="23" spans="2:6" ht="15.75" thickBot="1">
      <c r="B23" s="307"/>
      <c r="C23" s="330" t="s">
        <v>331</v>
      </c>
      <c r="D23" s="325"/>
      <c r="E23" s="326"/>
      <c r="F23" s="339">
        <f>F20+F21+F22</f>
        <v>33.25</v>
      </c>
    </row>
    <row r="24" spans="2:6" ht="15.75" thickBot="1">
      <c r="B24" s="307" t="s">
        <v>3</v>
      </c>
      <c r="C24" s="330" t="s">
        <v>332</v>
      </c>
      <c r="D24" s="313"/>
      <c r="E24" s="340"/>
      <c r="F24" s="341">
        <f>F17+F23</f>
        <v>2961.2166999999995</v>
      </c>
    </row>
    <row r="25" spans="2:6">
      <c r="B25" s="342" t="s">
        <v>333</v>
      </c>
    </row>
    <row r="26" spans="2:6">
      <c r="B26" s="342" t="s">
        <v>334</v>
      </c>
    </row>
    <row r="27" spans="2:6">
      <c r="B27" s="342" t="s">
        <v>333</v>
      </c>
    </row>
    <row r="28" spans="2:6">
      <c r="B28" s="342" t="s">
        <v>335</v>
      </c>
    </row>
  </sheetData>
  <mergeCells count="8">
    <mergeCell ref="B2:C3"/>
    <mergeCell ref="D2:F3"/>
    <mergeCell ref="B4:C5"/>
    <mergeCell ref="D6:F7"/>
    <mergeCell ref="B7:B11"/>
    <mergeCell ref="D12:E24"/>
    <mergeCell ref="B18:C18"/>
    <mergeCell ref="F18:F19"/>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E7286D-EFE8-4E8E-8996-10A5BA257D2E}">
  <dimension ref="B1:F74"/>
  <sheetViews>
    <sheetView workbookViewId="0">
      <selection activeCell="E6" sqref="E6"/>
    </sheetView>
  </sheetViews>
  <sheetFormatPr defaultRowHeight="15"/>
  <cols>
    <col min="1" max="1" width="9.140625" style="208"/>
    <col min="2" max="2" width="4.42578125" style="208" bestFit="1" customWidth="1"/>
    <col min="3" max="3" width="8.28515625" style="208" bestFit="1" customWidth="1"/>
    <col min="4" max="4" width="18.28515625" style="208" bestFit="1" customWidth="1"/>
    <col min="5" max="5" width="20.42578125" style="208" bestFit="1" customWidth="1"/>
    <col min="6" max="6" width="20" style="208" bestFit="1" customWidth="1"/>
    <col min="7" max="16384" width="9.140625" style="208"/>
  </cols>
  <sheetData>
    <row r="1" spans="2:6" ht="15.75" thickBot="1"/>
    <row r="2" spans="2:6" ht="15.75" thickBot="1">
      <c r="B2" s="400" t="s">
        <v>342</v>
      </c>
      <c r="C2" s="401" t="s">
        <v>343</v>
      </c>
      <c r="D2" s="402" t="s">
        <v>356</v>
      </c>
      <c r="E2" s="401" t="s">
        <v>357</v>
      </c>
      <c r="F2" s="401" t="s">
        <v>358</v>
      </c>
    </row>
    <row r="3" spans="2:6" ht="15.75" thickBot="1">
      <c r="B3" s="403"/>
      <c r="C3" s="404"/>
      <c r="D3" s="405" t="s">
        <v>359</v>
      </c>
      <c r="E3" s="406"/>
      <c r="F3" s="407"/>
    </row>
    <row r="4" spans="2:6" ht="15.75" thickBot="1">
      <c r="B4" s="408">
        <v>2016</v>
      </c>
      <c r="C4" s="409" t="s">
        <v>344</v>
      </c>
      <c r="D4" s="410">
        <v>743.81887110362254</v>
      </c>
      <c r="E4" s="410">
        <v>1032.5317965762392</v>
      </c>
      <c r="F4" s="410">
        <v>594.10247543635592</v>
      </c>
    </row>
    <row r="5" spans="2:6" ht="15.75" thickBot="1">
      <c r="B5" s="408">
        <v>2016</v>
      </c>
      <c r="C5" s="409" t="s">
        <v>345</v>
      </c>
      <c r="D5" s="410">
        <v>860.07502702702698</v>
      </c>
      <c r="E5" s="410">
        <v>1118.7220132545226</v>
      </c>
      <c r="F5" s="410">
        <v>577.73623439392975</v>
      </c>
    </row>
    <row r="6" spans="2:6" ht="15.75" thickBot="1">
      <c r="B6" s="408">
        <v>2016</v>
      </c>
      <c r="C6" s="409" t="s">
        <v>346</v>
      </c>
      <c r="D6" s="410">
        <v>870.07134548274519</v>
      </c>
      <c r="E6" s="410">
        <v>1057.035811338015</v>
      </c>
      <c r="F6" s="410">
        <v>591.08337902337541</v>
      </c>
    </row>
    <row r="7" spans="2:6" ht="15.75" thickBot="1">
      <c r="B7" s="408">
        <v>2016</v>
      </c>
      <c r="C7" s="409" t="s">
        <v>347</v>
      </c>
      <c r="D7" s="410">
        <v>913.0544041450778</v>
      </c>
      <c r="E7" s="410">
        <v>1027.0194552529183</v>
      </c>
      <c r="F7" s="410">
        <v>600.45207686054243</v>
      </c>
    </row>
    <row r="8" spans="2:6" ht="15.75" thickBot="1">
      <c r="B8" s="408">
        <v>2016</v>
      </c>
      <c r="C8" s="409" t="s">
        <v>348</v>
      </c>
      <c r="D8" s="410">
        <v>987.00772489409417</v>
      </c>
      <c r="E8" s="410">
        <v>1013.581225668394</v>
      </c>
      <c r="F8" s="410">
        <v>614.11296000000004</v>
      </c>
    </row>
    <row r="9" spans="2:6" ht="15.75" thickBot="1">
      <c r="B9" s="408">
        <v>2016</v>
      </c>
      <c r="C9" s="409" t="s">
        <v>349</v>
      </c>
      <c r="D9" s="410">
        <v>1117.52457727094</v>
      </c>
      <c r="E9" s="410">
        <v>1024.5950137867649</v>
      </c>
      <c r="F9" s="410">
        <v>601.15355745239651</v>
      </c>
    </row>
    <row r="10" spans="2:6" ht="15.75" thickBot="1">
      <c r="B10" s="408">
        <v>2016</v>
      </c>
      <c r="C10" s="409" t="s">
        <v>350</v>
      </c>
      <c r="D10" s="410">
        <v>1215.7526041666667</v>
      </c>
      <c r="E10" s="410">
        <v>1011.6024847051759</v>
      </c>
      <c r="F10" s="410">
        <v>616.2107041105354</v>
      </c>
    </row>
    <row r="11" spans="2:6" ht="15.75" thickBot="1">
      <c r="B11" s="408">
        <v>2016</v>
      </c>
      <c r="C11" s="409" t="s">
        <v>351</v>
      </c>
      <c r="D11" s="410">
        <v>1167.677658142665</v>
      </c>
      <c r="E11" s="410">
        <v>993.44937284130162</v>
      </c>
      <c r="F11" s="410">
        <v>571.23</v>
      </c>
    </row>
    <row r="12" spans="2:6" ht="15.75" thickBot="1">
      <c r="B12" s="408">
        <v>2016</v>
      </c>
      <c r="C12" s="409" t="s">
        <v>352</v>
      </c>
      <c r="D12" s="410">
        <v>1203.1596346131887</v>
      </c>
      <c r="E12" s="410">
        <v>1140.442794279428</v>
      </c>
      <c r="F12" s="410">
        <v>548.34</v>
      </c>
    </row>
    <row r="13" spans="2:6" ht="15.75" thickBot="1">
      <c r="B13" s="408">
        <v>2016</v>
      </c>
      <c r="C13" s="409" t="s">
        <v>353</v>
      </c>
      <c r="D13" s="410">
        <v>1185.1100047415837</v>
      </c>
      <c r="E13" s="410">
        <v>957.26522222596623</v>
      </c>
      <c r="F13" s="410">
        <v>526</v>
      </c>
    </row>
    <row r="14" spans="2:6" ht="15.75" thickBot="1">
      <c r="B14" s="408">
        <v>2016</v>
      </c>
      <c r="C14" s="409" t="s">
        <v>354</v>
      </c>
      <c r="D14" s="410">
        <v>1088.4660654959659</v>
      </c>
      <c r="E14" s="410">
        <v>966.31766005475242</v>
      </c>
      <c r="F14" s="410">
        <v>503.24</v>
      </c>
    </row>
    <row r="15" spans="2:6" ht="15.75" thickBot="1">
      <c r="B15" s="408">
        <v>2016</v>
      </c>
      <c r="C15" s="409" t="s">
        <v>355</v>
      </c>
      <c r="D15" s="410">
        <v>1027.2162321113508</v>
      </c>
      <c r="E15" s="410">
        <v>1038.0427728613568</v>
      </c>
      <c r="F15" s="410">
        <v>480.35</v>
      </c>
    </row>
    <row r="16" spans="2:6" ht="15.75" thickBot="1">
      <c r="B16" s="408">
        <v>2017</v>
      </c>
      <c r="C16" s="409" t="s">
        <v>344</v>
      </c>
      <c r="D16" s="410">
        <v>994.10555264536401</v>
      </c>
      <c r="E16" s="410">
        <v>1041.1454102355808</v>
      </c>
      <c r="F16" s="410">
        <v>435.82289012142104</v>
      </c>
    </row>
    <row r="17" spans="2:6" ht="15.75" thickBot="1">
      <c r="B17" s="408">
        <v>2017</v>
      </c>
      <c r="C17" s="409" t="s">
        <v>345</v>
      </c>
      <c r="D17" s="410">
        <v>1468.4495247880811</v>
      </c>
      <c r="E17" s="410">
        <v>1075.6663503838524</v>
      </c>
      <c r="F17" s="410">
        <v>455.43201573504223</v>
      </c>
    </row>
    <row r="18" spans="2:6" ht="15.75" thickBot="1">
      <c r="B18" s="408">
        <v>2017</v>
      </c>
      <c r="C18" s="409" t="s">
        <v>346</v>
      </c>
      <c r="D18" s="410">
        <v>1300.7059579939992</v>
      </c>
      <c r="E18" s="410">
        <v>1207.0910290237466</v>
      </c>
      <c r="F18" s="410">
        <v>495.03682701081999</v>
      </c>
    </row>
    <row r="19" spans="2:6" ht="15.75" thickBot="1">
      <c r="B19" s="408">
        <v>2017</v>
      </c>
      <c r="C19" s="409" t="s">
        <v>347</v>
      </c>
      <c r="D19" s="410">
        <v>1473.8604256922208</v>
      </c>
      <c r="E19" s="410">
        <v>1070.6653497351172</v>
      </c>
      <c r="F19" s="410">
        <v>502.64183623178207</v>
      </c>
    </row>
    <row r="20" spans="2:6" ht="15.75" thickBot="1">
      <c r="B20" s="408">
        <v>2017</v>
      </c>
      <c r="C20" s="409" t="s">
        <v>348</v>
      </c>
      <c r="D20" s="410">
        <v>1461.3684012066367</v>
      </c>
      <c r="E20" s="410">
        <v>1064.4138613861387</v>
      </c>
      <c r="F20" s="410">
        <v>517.42976090443813</v>
      </c>
    </row>
    <row r="21" spans="2:6" ht="15.75" thickBot="1">
      <c r="B21" s="408">
        <v>2017</v>
      </c>
      <c r="C21" s="409" t="s">
        <v>349</v>
      </c>
      <c r="D21" s="410">
        <v>1248.4952330508474</v>
      </c>
      <c r="E21" s="410">
        <v>1078.1075861195541</v>
      </c>
      <c r="F21" s="410">
        <v>543.23092532467535</v>
      </c>
    </row>
    <row r="22" spans="2:6" ht="15.75" thickBot="1">
      <c r="B22" s="408">
        <v>2017</v>
      </c>
      <c r="C22" s="409" t="s">
        <v>350</v>
      </c>
      <c r="D22" s="410">
        <v>1063.5023277467412</v>
      </c>
      <c r="E22" s="410">
        <v>1085.2192638997651</v>
      </c>
      <c r="F22" s="410">
        <v>537.38865959743475</v>
      </c>
    </row>
    <row r="23" spans="2:6" ht="15.75" thickBot="1">
      <c r="B23" s="408">
        <v>2017</v>
      </c>
      <c r="C23" s="409" t="s">
        <v>351</v>
      </c>
      <c r="D23" s="410">
        <v>973.37102922490476</v>
      </c>
      <c r="E23" s="410">
        <v>1075.2119473066389</v>
      </c>
      <c r="F23" s="410">
        <v>536.49979760362703</v>
      </c>
    </row>
    <row r="24" spans="2:6" ht="15.75" thickBot="1">
      <c r="B24" s="408">
        <v>2017</v>
      </c>
      <c r="C24" s="409" t="s">
        <v>352</v>
      </c>
      <c r="D24" s="410">
        <v>1081.2665112665111</v>
      </c>
      <c r="E24" s="410">
        <v>1077.3234599699506</v>
      </c>
      <c r="F24" s="410">
        <v>530.32455304387599</v>
      </c>
    </row>
    <row r="25" spans="2:6" ht="15.75" thickBot="1">
      <c r="B25" s="408">
        <v>2017</v>
      </c>
      <c r="C25" s="409" t="s">
        <v>353</v>
      </c>
      <c r="D25" s="410">
        <v>1135.3901270069496</v>
      </c>
      <c r="E25" s="410">
        <v>1238.6600000000001</v>
      </c>
      <c r="F25" s="410">
        <v>529.00975043528729</v>
      </c>
    </row>
    <row r="26" spans="2:6" ht="15.75" thickBot="1">
      <c r="B26" s="408">
        <v>2017</v>
      </c>
      <c r="C26" s="409" t="s">
        <v>354</v>
      </c>
      <c r="D26" s="410">
        <v>1191.7731149778233</v>
      </c>
      <c r="E26" s="410">
        <v>1407.44</v>
      </c>
      <c r="F26" s="410">
        <v>557.44133647874435</v>
      </c>
    </row>
    <row r="27" spans="2:6" ht="15.75" thickBot="1">
      <c r="B27" s="408">
        <v>2017</v>
      </c>
      <c r="C27" s="409" t="s">
        <v>355</v>
      </c>
      <c r="D27" s="410">
        <v>1252.6720588235294</v>
      </c>
      <c r="E27" s="410">
        <v>1562.34</v>
      </c>
      <c r="F27" s="410">
        <v>671.94838410651835</v>
      </c>
    </row>
    <row r="28" spans="2:6" ht="15.75" thickBot="1">
      <c r="B28" s="408">
        <v>2018</v>
      </c>
      <c r="C28" s="409" t="s">
        <v>344</v>
      </c>
      <c r="D28" s="410">
        <v>1359.0586245772267</v>
      </c>
      <c r="E28" s="410">
        <v>1724.5806911129491</v>
      </c>
      <c r="F28" s="410">
        <v>787.28994261552396</v>
      </c>
    </row>
    <row r="29" spans="2:6" ht="15.75" thickBot="1">
      <c r="B29" s="408">
        <v>2018</v>
      </c>
      <c r="C29" s="409" t="s">
        <v>345</v>
      </c>
      <c r="D29" s="410">
        <v>1324.34</v>
      </c>
      <c r="E29" s="410">
        <v>2045.9768427919114</v>
      </c>
      <c r="F29" s="410">
        <v>735.51236985385424</v>
      </c>
    </row>
    <row r="30" spans="2:6" ht="15.75" thickBot="1">
      <c r="B30" s="408">
        <v>2018</v>
      </c>
      <c r="C30" s="409" t="s">
        <v>346</v>
      </c>
      <c r="D30" s="410">
        <v>1435.45</v>
      </c>
      <c r="E30" s="410">
        <v>2260.6646595646134</v>
      </c>
      <c r="F30" s="410">
        <f t="shared" ref="F30:F34" si="0">F31+56</f>
        <v>778.76</v>
      </c>
    </row>
    <row r="31" spans="2:6" ht="15.75" thickBot="1">
      <c r="B31" s="408">
        <v>2018</v>
      </c>
      <c r="C31" s="409" t="s">
        <v>347</v>
      </c>
      <c r="D31" s="410">
        <v>1367.34</v>
      </c>
      <c r="E31" s="410">
        <v>2102.8841635338345</v>
      </c>
      <c r="F31" s="410">
        <f t="shared" si="0"/>
        <v>722.76</v>
      </c>
    </row>
    <row r="32" spans="2:6" ht="15.75" thickBot="1">
      <c r="B32" s="408">
        <v>2018</v>
      </c>
      <c r="C32" s="409" t="s">
        <v>348</v>
      </c>
      <c r="D32" s="410">
        <v>1327.44</v>
      </c>
      <c r="E32" s="410">
        <v>2183.7025097060455</v>
      </c>
      <c r="F32" s="410">
        <f t="shared" si="0"/>
        <v>666.76</v>
      </c>
    </row>
    <row r="33" spans="2:6" ht="15.75" thickBot="1">
      <c r="B33" s="408">
        <v>2018</v>
      </c>
      <c r="C33" s="409" t="s">
        <v>349</v>
      </c>
      <c r="D33" s="410">
        <v>1398.26</v>
      </c>
      <c r="E33" s="410">
        <v>2179.3550391316453</v>
      </c>
      <c r="F33" s="410">
        <f t="shared" si="0"/>
        <v>610.76</v>
      </c>
    </row>
    <row r="34" spans="2:6" ht="15.75" thickBot="1">
      <c r="B34" s="408">
        <v>2018</v>
      </c>
      <c r="C34" s="409" t="s">
        <v>350</v>
      </c>
      <c r="D34" s="410">
        <v>1497.55</v>
      </c>
      <c r="E34" s="410">
        <v>2075.2564829612825</v>
      </c>
      <c r="F34" s="410">
        <f t="shared" si="0"/>
        <v>554.76</v>
      </c>
    </row>
    <row r="35" spans="2:6" ht="15.75" thickBot="1">
      <c r="B35" s="408">
        <v>2018</v>
      </c>
      <c r="C35" s="409" t="s">
        <v>351</v>
      </c>
      <c r="D35" s="410">
        <v>1536.76</v>
      </c>
      <c r="E35" s="410">
        <v>2072.0546654099908</v>
      </c>
      <c r="F35" s="410">
        <f>F36+56</f>
        <v>498.76</v>
      </c>
    </row>
    <row r="36" spans="2:6" ht="15.75" thickBot="1">
      <c r="B36" s="408">
        <v>2018</v>
      </c>
      <c r="C36" s="409" t="s">
        <v>352</v>
      </c>
      <c r="D36" s="410">
        <v>1416.78</v>
      </c>
      <c r="E36" s="410">
        <v>1923.4845072959827</v>
      </c>
      <c r="F36" s="410">
        <v>442.76</v>
      </c>
    </row>
    <row r="37" spans="2:6" ht="15.75" thickBot="1">
      <c r="B37" s="408">
        <v>2018</v>
      </c>
      <c r="C37" s="409" t="s">
        <v>353</v>
      </c>
      <c r="D37" s="410" t="e">
        <f>#REF!-449</f>
        <v>#REF!</v>
      </c>
      <c r="E37" s="410">
        <v>1888.34</v>
      </c>
      <c r="F37" s="410">
        <v>470.53</v>
      </c>
    </row>
    <row r="38" spans="2:6" ht="15.75" thickBot="1">
      <c r="B38" s="408">
        <v>2018</v>
      </c>
      <c r="C38" s="409" t="s">
        <v>354</v>
      </c>
      <c r="D38" s="410" t="e">
        <f>#REF!-549</f>
        <v>#REF!</v>
      </c>
      <c r="E38" s="410">
        <v>1854.34</v>
      </c>
      <c r="F38" s="410">
        <v>443.88</v>
      </c>
    </row>
    <row r="39" spans="2:6" ht="15.75" thickBot="1">
      <c r="B39" s="408">
        <v>2018</v>
      </c>
      <c r="C39" s="409" t="s">
        <v>355</v>
      </c>
      <c r="D39" s="410" t="e">
        <f>#REF!-549</f>
        <v>#REF!</v>
      </c>
      <c r="E39" s="410">
        <v>1785.46</v>
      </c>
      <c r="F39" s="410">
        <v>444.67</v>
      </c>
    </row>
    <row r="40" spans="2:6" ht="15.75" thickBot="1">
      <c r="B40" s="408">
        <v>2019</v>
      </c>
      <c r="C40" s="409" t="s">
        <v>344</v>
      </c>
      <c r="D40" s="410">
        <v>1143.07</v>
      </c>
      <c r="E40" s="410">
        <v>1646.92</v>
      </c>
      <c r="F40" s="410">
        <v>426.71</v>
      </c>
    </row>
    <row r="41" spans="2:6" ht="15.75" thickBot="1">
      <c r="B41" s="408">
        <v>2019</v>
      </c>
      <c r="C41" s="409" t="s">
        <v>345</v>
      </c>
      <c r="D41" s="410">
        <v>1154.6400000000001</v>
      </c>
      <c r="E41" s="410">
        <v>1699.17</v>
      </c>
      <c r="F41" s="410">
        <v>426.06</v>
      </c>
    </row>
    <row r="42" spans="2:6" ht="15.75" thickBot="1">
      <c r="B42" s="408">
        <v>2019</v>
      </c>
      <c r="C42" s="409" t="s">
        <v>346</v>
      </c>
      <c r="D42" s="410">
        <v>1202.75</v>
      </c>
      <c r="E42" s="409">
        <v>1675.79</v>
      </c>
      <c r="F42" s="410">
        <v>439.66</v>
      </c>
    </row>
    <row r="43" spans="2:6" ht="15.75" thickBot="1">
      <c r="B43" s="408">
        <v>2019</v>
      </c>
      <c r="C43" s="409" t="s">
        <v>347</v>
      </c>
      <c r="D43" s="410">
        <v>1213.0899999999999</v>
      </c>
      <c r="E43" s="409">
        <v>1682.77</v>
      </c>
      <c r="F43" s="410">
        <v>415.22</v>
      </c>
    </row>
    <row r="44" spans="2:6" ht="15.75" thickBot="1">
      <c r="B44" s="408">
        <v>2019</v>
      </c>
      <c r="C44" s="409" t="s">
        <v>348</v>
      </c>
      <c r="D44" s="410">
        <v>1184.6500000000001</v>
      </c>
      <c r="E44" s="409">
        <v>1671.68</v>
      </c>
      <c r="F44" s="410">
        <v>412.98</v>
      </c>
    </row>
    <row r="45" spans="2:6" ht="15.75" thickBot="1">
      <c r="B45" s="408">
        <v>2019</v>
      </c>
      <c r="C45" s="409" t="s">
        <v>349</v>
      </c>
      <c r="D45" s="410">
        <v>1179.6300000000001</v>
      </c>
      <c r="E45" s="409">
        <v>1629.3</v>
      </c>
      <c r="F45" s="410">
        <v>409.49</v>
      </c>
    </row>
    <row r="46" spans="2:6" ht="15.75" thickBot="1">
      <c r="B46" s="408">
        <v>2019</v>
      </c>
      <c r="C46" s="409" t="s">
        <v>350</v>
      </c>
      <c r="D46" s="410">
        <v>1210.1500000000001</v>
      </c>
      <c r="E46" s="409">
        <v>1652.32</v>
      </c>
      <c r="F46" s="410">
        <v>406.54</v>
      </c>
    </row>
    <row r="47" spans="2:6" ht="15.75" thickBot="1">
      <c r="B47" s="408">
        <v>2019</v>
      </c>
      <c r="C47" s="409" t="s">
        <v>351</v>
      </c>
      <c r="D47" s="410">
        <v>1206.8900000000001</v>
      </c>
      <c r="E47" s="409">
        <v>1562.36</v>
      </c>
      <c r="F47" s="410">
        <v>392.28</v>
      </c>
    </row>
    <row r="48" spans="2:6" ht="15.75" thickBot="1">
      <c r="B48" s="408">
        <v>2019</v>
      </c>
      <c r="C48" s="409" t="s">
        <v>352</v>
      </c>
      <c r="D48" s="410">
        <v>1208.69</v>
      </c>
      <c r="E48" s="409">
        <v>1610.66</v>
      </c>
      <c r="F48" s="410">
        <v>373.25</v>
      </c>
    </row>
    <row r="49" spans="2:6" ht="15.75" thickBot="1">
      <c r="B49" s="408">
        <v>2019</v>
      </c>
      <c r="C49" s="409" t="s">
        <v>353</v>
      </c>
      <c r="D49" s="410">
        <v>1233.8</v>
      </c>
      <c r="E49" s="409">
        <v>1547.28</v>
      </c>
      <c r="F49" s="410">
        <v>380.91</v>
      </c>
    </row>
    <row r="50" spans="2:6" ht="15.75" thickBot="1">
      <c r="B50" s="408">
        <v>2019</v>
      </c>
      <c r="C50" s="409" t="s">
        <v>354</v>
      </c>
      <c r="D50" s="410">
        <v>1245.28</v>
      </c>
      <c r="E50" s="409">
        <v>1511.12</v>
      </c>
      <c r="F50" s="410">
        <v>369.39</v>
      </c>
    </row>
    <row r="51" spans="2:6" ht="15.75" thickBot="1">
      <c r="B51" s="408">
        <v>2019</v>
      </c>
      <c r="C51" s="409" t="s">
        <v>355</v>
      </c>
      <c r="D51" s="410">
        <v>1269.25</v>
      </c>
      <c r="E51" s="409">
        <v>1401.45</v>
      </c>
      <c r="F51" s="410">
        <v>392.08</v>
      </c>
    </row>
    <row r="52" spans="2:6" ht="15.75" thickBot="1">
      <c r="B52" s="408">
        <v>2020</v>
      </c>
      <c r="C52" s="409" t="s">
        <v>344</v>
      </c>
      <c r="D52" s="410">
        <v>1268.07</v>
      </c>
      <c r="E52" s="409">
        <v>1442.01</v>
      </c>
      <c r="F52" s="410">
        <v>386.73</v>
      </c>
    </row>
    <row r="53" spans="2:6" ht="15.75" thickBot="1">
      <c r="B53" s="408">
        <v>2020</v>
      </c>
      <c r="C53" s="409" t="s">
        <v>345</v>
      </c>
      <c r="D53" s="410">
        <v>1282.32</v>
      </c>
      <c r="E53" s="409">
        <v>1477.82</v>
      </c>
      <c r="F53" s="410">
        <v>369.03</v>
      </c>
    </row>
    <row r="54" spans="2:6" ht="15.75" thickBot="1">
      <c r="B54" s="408">
        <v>2020</v>
      </c>
      <c r="C54" s="409" t="s">
        <v>346</v>
      </c>
      <c r="D54" s="410">
        <v>1218.6300000000001</v>
      </c>
      <c r="E54" s="409">
        <v>1468.47</v>
      </c>
      <c r="F54" s="410">
        <v>348.2</v>
      </c>
    </row>
    <row r="55" spans="2:6" ht="15.75" thickBot="1">
      <c r="B55" s="408">
        <v>2020</v>
      </c>
      <c r="C55" s="409" t="s">
        <v>347</v>
      </c>
      <c r="D55" s="410">
        <v>1173.0899999999999</v>
      </c>
      <c r="E55" s="409">
        <v>1393.9</v>
      </c>
      <c r="F55" s="410">
        <v>301.77</v>
      </c>
    </row>
    <row r="56" spans="2:6" ht="15.75" thickBot="1">
      <c r="B56" s="408">
        <v>2020</v>
      </c>
      <c r="C56" s="409" t="s">
        <v>348</v>
      </c>
      <c r="D56" s="410">
        <v>1211.3800000000001</v>
      </c>
      <c r="E56" s="409">
        <v>1416.6</v>
      </c>
      <c r="F56" s="410">
        <v>283.58</v>
      </c>
    </row>
    <row r="57" spans="2:6" ht="15.75" thickBot="1">
      <c r="B57" s="408">
        <v>2020</v>
      </c>
      <c r="C57" s="409" t="s">
        <v>349</v>
      </c>
      <c r="D57" s="410">
        <v>1236.1099999999999</v>
      </c>
      <c r="E57" s="409">
        <v>1389.31</v>
      </c>
      <c r="F57" s="410">
        <v>299.77999999999997</v>
      </c>
    </row>
    <row r="58" spans="2:6" ht="15.75" thickBot="1">
      <c r="B58" s="408">
        <v>2020</v>
      </c>
      <c r="C58" s="409" t="s">
        <v>350</v>
      </c>
      <c r="D58" s="410">
        <v>1259.97</v>
      </c>
      <c r="E58" s="409">
        <v>1409.46</v>
      </c>
      <c r="F58" s="410">
        <v>304.31</v>
      </c>
    </row>
    <row r="59" spans="2:6" ht="15.75" thickBot="1">
      <c r="B59" s="408">
        <v>2020</v>
      </c>
      <c r="C59" s="409" t="s">
        <v>351</v>
      </c>
      <c r="D59" s="410">
        <v>1257.45</v>
      </c>
      <c r="E59" s="409">
        <v>1402.23</v>
      </c>
      <c r="F59" s="410">
        <v>337.82</v>
      </c>
    </row>
    <row r="60" spans="2:6" ht="15.75" thickBot="1">
      <c r="B60" s="408">
        <v>2020</v>
      </c>
      <c r="C60" s="409" t="s">
        <v>352</v>
      </c>
      <c r="D60" s="410">
        <v>1284.92</v>
      </c>
      <c r="E60" s="409">
        <v>1433.13</v>
      </c>
      <c r="F60" s="410">
        <v>349.17</v>
      </c>
    </row>
    <row r="61" spans="2:6" ht="15.75" thickBot="1">
      <c r="B61" s="408">
        <v>2020</v>
      </c>
      <c r="C61" s="409" t="s">
        <v>353</v>
      </c>
      <c r="D61" s="410">
        <v>1271.49</v>
      </c>
      <c r="E61" s="409">
        <v>1449.64</v>
      </c>
      <c r="F61" s="410">
        <v>343.78</v>
      </c>
    </row>
    <row r="62" spans="2:6" ht="15.75" thickBot="1">
      <c r="B62" s="408">
        <v>2020</v>
      </c>
      <c r="C62" s="409" t="s">
        <v>354</v>
      </c>
      <c r="D62" s="410">
        <v>1306.99</v>
      </c>
      <c r="E62" s="409">
        <v>1447.12</v>
      </c>
      <c r="F62" s="410">
        <v>288.75</v>
      </c>
    </row>
    <row r="63" spans="2:6" ht="15.75" thickBot="1">
      <c r="B63" s="408">
        <v>2020</v>
      </c>
      <c r="C63" s="409" t="s">
        <v>355</v>
      </c>
      <c r="D63" s="410">
        <v>1351.3</v>
      </c>
      <c r="E63" s="409">
        <v>1474.89</v>
      </c>
      <c r="F63" s="410">
        <v>280.72000000000003</v>
      </c>
    </row>
    <row r="64" spans="2:6" ht="15.75" thickBot="1">
      <c r="B64" s="408">
        <v>2021</v>
      </c>
      <c r="C64" s="409" t="s">
        <v>344</v>
      </c>
      <c r="D64" s="410">
        <v>1602.16</v>
      </c>
      <c r="E64" s="409">
        <v>1558.26</v>
      </c>
      <c r="F64" s="410">
        <v>274.89</v>
      </c>
    </row>
    <row r="65" spans="2:6" ht="15.75" thickBot="1">
      <c r="B65" s="408">
        <v>2021</v>
      </c>
      <c r="C65" s="409" t="s">
        <v>345</v>
      </c>
      <c r="D65" s="410">
        <v>1874.93</v>
      </c>
      <c r="E65" s="409">
        <v>1755.97</v>
      </c>
      <c r="F65" s="410">
        <v>306.17</v>
      </c>
    </row>
    <row r="66" spans="2:6" ht="15.75" thickBot="1">
      <c r="B66" s="408">
        <v>2021</v>
      </c>
      <c r="C66" s="409" t="s">
        <v>346</v>
      </c>
      <c r="D66" s="410">
        <v>2240.7199999999998</v>
      </c>
      <c r="E66" s="409">
        <v>1771.1</v>
      </c>
      <c r="F66" s="410">
        <v>324.48</v>
      </c>
    </row>
    <row r="67" spans="2:6" ht="15.75" thickBot="1">
      <c r="B67" s="408">
        <v>2021</v>
      </c>
      <c r="C67" s="409" t="s">
        <v>347</v>
      </c>
      <c r="D67" s="410">
        <v>2446.89</v>
      </c>
      <c r="E67" s="409">
        <v>2154.71</v>
      </c>
      <c r="F67" s="410">
        <v>331.83</v>
      </c>
    </row>
    <row r="68" spans="2:6" ht="15.75" thickBot="1">
      <c r="B68" s="408">
        <v>2021</v>
      </c>
      <c r="C68" s="409" t="s">
        <v>348</v>
      </c>
      <c r="D68" s="410">
        <v>2535.0500000000002</v>
      </c>
      <c r="E68" s="409">
        <v>2561.5500000000002</v>
      </c>
      <c r="F68" s="410">
        <v>301.60000000000002</v>
      </c>
    </row>
    <row r="69" spans="2:6" ht="15.75" thickBot="1">
      <c r="B69" s="408">
        <v>2021</v>
      </c>
      <c r="C69" s="409" t="s">
        <v>349</v>
      </c>
      <c r="D69" s="410">
        <v>2579.94</v>
      </c>
      <c r="E69" s="409">
        <v>2593.66</v>
      </c>
      <c r="F69" s="410">
        <v>290.31</v>
      </c>
    </row>
    <row r="70" spans="2:6" ht="15.75" thickBot="1">
      <c r="B70" s="408">
        <v>2021</v>
      </c>
      <c r="C70" s="409" t="s">
        <v>350</v>
      </c>
      <c r="D70" s="410">
        <v>2697.67</v>
      </c>
      <c r="E70" s="409">
        <v>2591.54</v>
      </c>
      <c r="F70" s="410">
        <v>383.58</v>
      </c>
    </row>
    <row r="71" spans="2:6" ht="15.75" thickBot="1">
      <c r="B71" s="408">
        <v>2021</v>
      </c>
      <c r="C71" s="409" t="s">
        <v>351</v>
      </c>
      <c r="D71" s="409">
        <v>3201.64</v>
      </c>
      <c r="E71" s="409">
        <v>3084</v>
      </c>
      <c r="F71" s="410">
        <v>432.92</v>
      </c>
    </row>
    <row r="72" spans="2:6" ht="15.75" thickBot="1">
      <c r="B72" s="408">
        <v>2021</v>
      </c>
      <c r="C72" s="409" t="s">
        <v>352</v>
      </c>
      <c r="D72" s="409">
        <v>3739.56</v>
      </c>
      <c r="E72" s="409">
        <v>3135.11</v>
      </c>
      <c r="F72" s="410">
        <v>460.29</v>
      </c>
    </row>
    <row r="73" spans="2:6" ht="15.75" thickBot="1">
      <c r="B73" s="408">
        <v>2021</v>
      </c>
      <c r="C73" s="409" t="s">
        <v>353</v>
      </c>
      <c r="D73" s="409">
        <v>3762.32</v>
      </c>
      <c r="E73" s="409">
        <v>3228.66</v>
      </c>
      <c r="F73" s="410">
        <v>697.63</v>
      </c>
    </row>
    <row r="74" spans="2:6" ht="15.75" thickBot="1">
      <c r="B74" s="408">
        <v>2021</v>
      </c>
      <c r="C74" s="409" t="s">
        <v>354</v>
      </c>
      <c r="D74" s="409">
        <v>3820.15</v>
      </c>
      <c r="E74" s="409">
        <v>3786.58</v>
      </c>
      <c r="F74" s="410">
        <v>966.11</v>
      </c>
    </row>
  </sheetData>
  <mergeCells count="1">
    <mergeCell ref="D3:F3"/>
  </mergeCell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3802D-C82B-4E1C-A4B6-68DF66BD8CED}">
  <dimension ref="A1:P67"/>
  <sheetViews>
    <sheetView showGridLines="0" workbookViewId="0">
      <selection activeCell="H4" sqref="H4"/>
    </sheetView>
  </sheetViews>
  <sheetFormatPr defaultRowHeight="15"/>
  <cols>
    <col min="1" max="1" width="4.140625" bestFit="1" customWidth="1"/>
    <col min="2" max="2" width="28.42578125" customWidth="1"/>
    <col min="3" max="3" width="17.5703125" customWidth="1"/>
    <col min="4" max="4" width="8.42578125" customWidth="1"/>
    <col min="5" max="5" width="16" customWidth="1"/>
    <col min="6" max="6" width="12.85546875" customWidth="1"/>
    <col min="7" max="7" width="16.7109375" customWidth="1"/>
    <col min="8" max="9" width="9.28515625" bestFit="1" customWidth="1"/>
    <col min="10" max="10" width="24.42578125" bestFit="1" customWidth="1"/>
    <col min="11" max="11" width="17" customWidth="1"/>
    <col min="12" max="12" width="9.28515625" bestFit="1" customWidth="1"/>
    <col min="13" max="13" width="8" bestFit="1" customWidth="1"/>
    <col min="14" max="14" width="15.5703125" customWidth="1"/>
    <col min="15" max="15" width="12.7109375" customWidth="1"/>
    <col min="16" max="16" width="10.140625" bestFit="1" customWidth="1"/>
  </cols>
  <sheetData>
    <row r="1" spans="1:16" ht="15.75" thickBot="1">
      <c r="A1" s="262" t="s">
        <v>199</v>
      </c>
      <c r="B1" s="263"/>
      <c r="C1" s="263"/>
      <c r="D1" s="263"/>
      <c r="E1" s="263"/>
      <c r="F1" s="263"/>
      <c r="G1" s="264"/>
      <c r="H1" s="234"/>
      <c r="I1" s="262" t="s">
        <v>200</v>
      </c>
      <c r="J1" s="263"/>
      <c r="K1" s="263"/>
      <c r="L1" s="263"/>
      <c r="M1" s="263"/>
      <c r="N1" s="263"/>
      <c r="O1" s="264"/>
      <c r="P1" s="234"/>
    </row>
    <row r="2" spans="1:16" ht="25.5">
      <c r="A2" s="265" t="s">
        <v>235</v>
      </c>
      <c r="B2" s="265" t="s">
        <v>8</v>
      </c>
      <c r="C2" s="265" t="s">
        <v>184</v>
      </c>
      <c r="D2" s="265" t="s">
        <v>185</v>
      </c>
      <c r="E2" s="235" t="s">
        <v>0</v>
      </c>
      <c r="F2" s="265" t="s">
        <v>140</v>
      </c>
      <c r="G2" s="267" t="s">
        <v>93</v>
      </c>
      <c r="H2" s="234"/>
      <c r="I2" s="269"/>
      <c r="J2" s="265" t="s">
        <v>8</v>
      </c>
      <c r="K2" s="265" t="s">
        <v>184</v>
      </c>
      <c r="L2" s="265" t="s">
        <v>185</v>
      </c>
      <c r="M2" s="235" t="s">
        <v>0</v>
      </c>
      <c r="N2" s="265" t="s">
        <v>140</v>
      </c>
      <c r="O2" s="267" t="s">
        <v>93</v>
      </c>
      <c r="P2" s="234"/>
    </row>
    <row r="3" spans="1:16" ht="26.25" thickBot="1">
      <c r="A3" s="266"/>
      <c r="B3" s="266"/>
      <c r="C3" s="266"/>
      <c r="D3" s="266"/>
      <c r="E3" s="236" t="s">
        <v>201</v>
      </c>
      <c r="F3" s="266"/>
      <c r="G3" s="268"/>
      <c r="H3" s="234"/>
      <c r="I3" s="270"/>
      <c r="J3" s="266"/>
      <c r="K3" s="266"/>
      <c r="L3" s="266"/>
      <c r="M3" s="236" t="s">
        <v>201</v>
      </c>
      <c r="N3" s="266"/>
      <c r="O3" s="268"/>
      <c r="P3" s="234"/>
    </row>
    <row r="4" spans="1:16" ht="39" thickBot="1">
      <c r="A4" s="237">
        <v>1</v>
      </c>
      <c r="B4" s="238" t="s">
        <v>68</v>
      </c>
      <c r="C4" s="238" t="s">
        <v>187</v>
      </c>
      <c r="D4" s="238">
        <v>1</v>
      </c>
      <c r="E4" s="238">
        <v>9.8000000000000004E-2</v>
      </c>
      <c r="F4" s="238" t="s">
        <v>202</v>
      </c>
      <c r="G4" s="238"/>
      <c r="H4" s="234">
        <f>0.091*3</f>
        <v>0.27300000000000002</v>
      </c>
      <c r="I4" s="237">
        <v>1</v>
      </c>
      <c r="J4" s="238" t="s">
        <v>68</v>
      </c>
      <c r="K4" s="238" t="s">
        <v>187</v>
      </c>
      <c r="L4" s="238">
        <v>1</v>
      </c>
      <c r="M4" s="238">
        <v>9.8000000000000004E-2</v>
      </c>
      <c r="N4" s="238" t="s">
        <v>202</v>
      </c>
      <c r="O4" s="238"/>
      <c r="P4" s="234"/>
    </row>
    <row r="5" spans="1:16" ht="26.25" thickBot="1">
      <c r="A5" s="237">
        <v>2</v>
      </c>
      <c r="B5" s="238" t="s">
        <v>69</v>
      </c>
      <c r="C5" s="238" t="s">
        <v>188</v>
      </c>
      <c r="D5" s="238">
        <v>2</v>
      </c>
      <c r="E5" s="238">
        <v>3.3000000000000002E-2</v>
      </c>
      <c r="F5" s="238" t="s">
        <v>202</v>
      </c>
      <c r="G5" s="238" t="s">
        <v>203</v>
      </c>
      <c r="H5" s="234"/>
      <c r="I5" s="237">
        <v>2</v>
      </c>
      <c r="J5" s="238" t="s">
        <v>69</v>
      </c>
      <c r="K5" s="238" t="s">
        <v>188</v>
      </c>
      <c r="L5" s="238">
        <v>2</v>
      </c>
      <c r="M5" s="238">
        <v>3.3000000000000002E-2</v>
      </c>
      <c r="N5" s="238" t="s">
        <v>202</v>
      </c>
      <c r="O5" s="238" t="s">
        <v>203</v>
      </c>
      <c r="P5" s="234"/>
    </row>
    <row r="6" spans="1:16" ht="15.75" thickBot="1">
      <c r="A6" s="237">
        <v>3</v>
      </c>
      <c r="B6" s="238" t="s">
        <v>204</v>
      </c>
      <c r="C6" s="238" t="s">
        <v>186</v>
      </c>
      <c r="D6" s="238">
        <v>1</v>
      </c>
      <c r="E6" s="238">
        <v>3.3000000000000002E-2</v>
      </c>
      <c r="F6" s="238" t="s">
        <v>202</v>
      </c>
      <c r="G6" s="238"/>
      <c r="H6" s="234"/>
      <c r="I6" s="237">
        <v>3</v>
      </c>
      <c r="J6" s="238" t="s">
        <v>205</v>
      </c>
      <c r="K6" s="238" t="s">
        <v>186</v>
      </c>
      <c r="L6" s="238">
        <v>1</v>
      </c>
      <c r="M6" s="238">
        <v>3.3000000000000002E-2</v>
      </c>
      <c r="N6" s="238" t="s">
        <v>202</v>
      </c>
      <c r="O6" s="238"/>
      <c r="P6" s="234"/>
    </row>
    <row r="7" spans="1:16" ht="15.75" thickBot="1">
      <c r="A7" s="237">
        <v>4</v>
      </c>
      <c r="B7" s="238" t="s">
        <v>70</v>
      </c>
      <c r="C7" s="238" t="s">
        <v>186</v>
      </c>
      <c r="D7" s="238">
        <v>1</v>
      </c>
      <c r="E7" s="238">
        <v>0.16400000000000001</v>
      </c>
      <c r="F7" s="238" t="s">
        <v>202</v>
      </c>
      <c r="G7" s="238"/>
      <c r="H7" s="234"/>
      <c r="I7" s="237">
        <v>4</v>
      </c>
      <c r="J7" s="238" t="s">
        <v>70</v>
      </c>
      <c r="K7" s="238" t="s">
        <v>186</v>
      </c>
      <c r="L7" s="238">
        <v>1</v>
      </c>
      <c r="M7" s="238">
        <v>0.16400000000000001</v>
      </c>
      <c r="N7" s="238" t="s">
        <v>202</v>
      </c>
      <c r="O7" s="238"/>
      <c r="P7" s="234"/>
    </row>
    <row r="8" spans="1:16" ht="26.25" thickBot="1">
      <c r="A8" s="237">
        <v>5</v>
      </c>
      <c r="B8" s="238" t="s">
        <v>71</v>
      </c>
      <c r="C8" s="238" t="s">
        <v>189</v>
      </c>
      <c r="D8" s="238">
        <v>2</v>
      </c>
      <c r="E8" s="238">
        <v>3.3000000000000002E-2</v>
      </c>
      <c r="F8" s="238" t="s">
        <v>202</v>
      </c>
      <c r="G8" s="238" t="s">
        <v>203</v>
      </c>
      <c r="H8" s="234"/>
      <c r="I8" s="237">
        <v>5</v>
      </c>
      <c r="J8" s="238" t="s">
        <v>71</v>
      </c>
      <c r="K8" s="238" t="s">
        <v>189</v>
      </c>
      <c r="L8" s="238">
        <v>2</v>
      </c>
      <c r="M8" s="238">
        <v>3.3000000000000002E-2</v>
      </c>
      <c r="N8" s="238" t="s">
        <v>202</v>
      </c>
      <c r="O8" s="238" t="s">
        <v>203</v>
      </c>
      <c r="P8" s="234"/>
    </row>
    <row r="9" spans="1:16" ht="15.75" thickBot="1">
      <c r="A9" s="237">
        <v>6</v>
      </c>
      <c r="B9" s="238" t="s">
        <v>72</v>
      </c>
      <c r="C9" s="238" t="s">
        <v>186</v>
      </c>
      <c r="D9" s="238">
        <v>3</v>
      </c>
      <c r="E9" s="238">
        <v>0.49099999999999999</v>
      </c>
      <c r="F9" s="238" t="s">
        <v>206</v>
      </c>
      <c r="G9" s="238"/>
      <c r="H9" s="234"/>
      <c r="I9" s="237">
        <v>6</v>
      </c>
      <c r="J9" s="238" t="s">
        <v>207</v>
      </c>
      <c r="K9" s="256" t="s">
        <v>208</v>
      </c>
      <c r="L9" s="257"/>
      <c r="M9" s="257"/>
      <c r="N9" s="257"/>
      <c r="O9" s="258"/>
      <c r="P9" s="234"/>
    </row>
    <row r="10" spans="1:16" ht="26.25" thickBot="1">
      <c r="A10" s="237">
        <v>7</v>
      </c>
      <c r="B10" s="238" t="s">
        <v>73</v>
      </c>
      <c r="C10" s="238" t="s">
        <v>189</v>
      </c>
      <c r="D10" s="238">
        <v>2</v>
      </c>
      <c r="E10" s="238">
        <v>3.3000000000000002E-2</v>
      </c>
      <c r="F10" s="238" t="s">
        <v>202</v>
      </c>
      <c r="G10" s="238" t="s">
        <v>209</v>
      </c>
      <c r="H10" s="234"/>
      <c r="I10" s="237">
        <v>7</v>
      </c>
      <c r="J10" s="238" t="s">
        <v>73</v>
      </c>
      <c r="K10" s="259"/>
      <c r="L10" s="260"/>
      <c r="M10" s="260"/>
      <c r="N10" s="260"/>
      <c r="O10" s="261"/>
      <c r="P10" s="234"/>
    </row>
    <row r="11" spans="1:16" ht="64.5" thickBot="1">
      <c r="A11" s="237">
        <v>8</v>
      </c>
      <c r="B11" s="238" t="s">
        <v>74</v>
      </c>
      <c r="C11" s="238" t="s">
        <v>186</v>
      </c>
      <c r="D11" s="240">
        <v>3</v>
      </c>
      <c r="E11" s="238">
        <f>H4+0.691</f>
        <v>0.96399999999999997</v>
      </c>
      <c r="F11" s="238" t="s">
        <v>206</v>
      </c>
      <c r="G11" s="238" t="s">
        <v>190</v>
      </c>
      <c r="H11" s="234"/>
      <c r="I11" s="237">
        <v>8</v>
      </c>
      <c r="J11" s="238" t="s">
        <v>74</v>
      </c>
      <c r="K11" s="238" t="s">
        <v>186</v>
      </c>
      <c r="L11" s="238">
        <v>3</v>
      </c>
      <c r="M11" s="238">
        <f>0.691+H4</f>
        <v>0.96399999999999997</v>
      </c>
      <c r="N11" s="238" t="s">
        <v>206</v>
      </c>
      <c r="O11" s="238" t="s">
        <v>190</v>
      </c>
      <c r="P11" s="234"/>
    </row>
    <row r="12" spans="1:16" ht="26.25" thickBot="1">
      <c r="A12" s="237">
        <v>9</v>
      </c>
      <c r="B12" s="238" t="s">
        <v>75</v>
      </c>
      <c r="C12" s="238" t="s">
        <v>189</v>
      </c>
      <c r="D12" s="238">
        <v>2</v>
      </c>
      <c r="E12" s="238">
        <v>3.3000000000000002E-2</v>
      </c>
      <c r="F12" s="238" t="s">
        <v>202</v>
      </c>
      <c r="G12" s="238" t="s">
        <v>203</v>
      </c>
      <c r="H12" s="234"/>
      <c r="I12" s="237">
        <v>9</v>
      </c>
      <c r="J12" s="238" t="s">
        <v>75</v>
      </c>
      <c r="K12" s="238" t="s">
        <v>189</v>
      </c>
      <c r="L12" s="238">
        <v>2</v>
      </c>
      <c r="M12" s="238">
        <v>3.3000000000000002E-2</v>
      </c>
      <c r="N12" s="238" t="s">
        <v>202</v>
      </c>
      <c r="O12" s="238" t="s">
        <v>203</v>
      </c>
      <c r="P12" s="234"/>
    </row>
    <row r="13" spans="1:16" ht="15.75" thickBot="1">
      <c r="A13" s="237">
        <v>10</v>
      </c>
      <c r="B13" s="238" t="s">
        <v>76</v>
      </c>
      <c r="C13" s="238" t="s">
        <v>186</v>
      </c>
      <c r="D13" s="238">
        <v>1</v>
      </c>
      <c r="E13" s="238">
        <v>0.13100000000000001</v>
      </c>
      <c r="F13" s="238" t="s">
        <v>202</v>
      </c>
      <c r="G13" s="238"/>
      <c r="H13" s="234"/>
      <c r="I13" s="237">
        <v>10</v>
      </c>
      <c r="J13" s="238" t="s">
        <v>76</v>
      </c>
      <c r="K13" s="238" t="s">
        <v>186</v>
      </c>
      <c r="L13" s="238">
        <v>1</v>
      </c>
      <c r="M13" s="238">
        <v>0.13100000000000001</v>
      </c>
      <c r="N13" s="238" t="s">
        <v>202</v>
      </c>
      <c r="O13" s="238"/>
      <c r="P13" s="234"/>
    </row>
    <row r="14" spans="1:16" ht="26.25" thickBot="1">
      <c r="A14" s="237">
        <v>11</v>
      </c>
      <c r="B14" s="238" t="s">
        <v>77</v>
      </c>
      <c r="C14" s="238" t="s">
        <v>186</v>
      </c>
      <c r="D14" s="238">
        <v>1</v>
      </c>
      <c r="E14" s="238">
        <v>0.16400000000000001</v>
      </c>
      <c r="F14" s="238" t="s">
        <v>202</v>
      </c>
      <c r="G14" s="238"/>
      <c r="H14" s="234"/>
      <c r="I14" s="237">
        <v>11</v>
      </c>
      <c r="J14" s="238" t="s">
        <v>77</v>
      </c>
      <c r="K14" s="238" t="s">
        <v>186</v>
      </c>
      <c r="L14" s="238">
        <v>1</v>
      </c>
      <c r="M14" s="238">
        <v>0.16400000000000001</v>
      </c>
      <c r="N14" s="238" t="s">
        <v>202</v>
      </c>
      <c r="O14" s="238"/>
      <c r="P14" s="234"/>
    </row>
    <row r="15" spans="1:16" ht="26.25" thickBot="1">
      <c r="A15" s="237">
        <v>12</v>
      </c>
      <c r="B15" s="238" t="s">
        <v>78</v>
      </c>
      <c r="C15" s="238" t="s">
        <v>189</v>
      </c>
      <c r="D15" s="238">
        <v>2</v>
      </c>
      <c r="E15" s="238">
        <v>1.6E-2</v>
      </c>
      <c r="F15" s="238" t="s">
        <v>202</v>
      </c>
      <c r="G15" s="238" t="s">
        <v>203</v>
      </c>
      <c r="H15" s="234"/>
      <c r="I15" s="237">
        <v>12</v>
      </c>
      <c r="J15" s="238" t="s">
        <v>78</v>
      </c>
      <c r="K15" s="238" t="s">
        <v>189</v>
      </c>
      <c r="L15" s="238">
        <v>2</v>
      </c>
      <c r="M15" s="238">
        <v>1.6E-2</v>
      </c>
      <c r="N15" s="238" t="s">
        <v>202</v>
      </c>
      <c r="O15" s="238" t="s">
        <v>203</v>
      </c>
      <c r="P15" s="234"/>
    </row>
    <row r="16" spans="1:16" ht="15.75" thickBot="1">
      <c r="A16" s="237">
        <v>13</v>
      </c>
      <c r="B16" s="238" t="s">
        <v>79</v>
      </c>
      <c r="C16" s="238" t="s">
        <v>186</v>
      </c>
      <c r="D16" s="238">
        <v>1</v>
      </c>
      <c r="E16" s="238">
        <v>9.8000000000000004E-2</v>
      </c>
      <c r="F16" s="238" t="s">
        <v>202</v>
      </c>
      <c r="G16" s="238"/>
      <c r="H16" s="234"/>
      <c r="I16" s="237">
        <v>13</v>
      </c>
      <c r="J16" s="238" t="s">
        <v>79</v>
      </c>
      <c r="K16" s="238" t="s">
        <v>186</v>
      </c>
      <c r="L16" s="238">
        <v>1</v>
      </c>
      <c r="M16" s="238">
        <v>9.8000000000000004E-2</v>
      </c>
      <c r="N16" s="238" t="s">
        <v>202</v>
      </c>
      <c r="O16" s="238"/>
      <c r="P16" s="234"/>
    </row>
    <row r="17" spans="1:16" ht="15.75" thickBot="1">
      <c r="A17" s="237">
        <v>14</v>
      </c>
      <c r="B17" s="238" t="s">
        <v>80</v>
      </c>
      <c r="C17" s="238" t="s">
        <v>186</v>
      </c>
      <c r="D17" s="238">
        <v>1</v>
      </c>
      <c r="E17" s="238">
        <v>0.16400000000000001</v>
      </c>
      <c r="F17" s="238" t="s">
        <v>202</v>
      </c>
      <c r="G17" s="238"/>
      <c r="H17" s="234"/>
      <c r="I17" s="237">
        <v>14</v>
      </c>
      <c r="J17" s="238" t="s">
        <v>80</v>
      </c>
      <c r="K17" s="238" t="s">
        <v>186</v>
      </c>
      <c r="L17" s="238">
        <v>1</v>
      </c>
      <c r="M17" s="238">
        <v>0.16400000000000001</v>
      </c>
      <c r="N17" s="238" t="s">
        <v>202</v>
      </c>
      <c r="O17" s="238"/>
      <c r="P17" s="234"/>
    </row>
    <row r="18" spans="1:16" ht="26.25" thickBot="1">
      <c r="A18" s="237">
        <v>15</v>
      </c>
      <c r="B18" s="238" t="s">
        <v>81</v>
      </c>
      <c r="C18" s="238" t="s">
        <v>189</v>
      </c>
      <c r="D18" s="238">
        <v>2</v>
      </c>
      <c r="E18" s="238">
        <v>1.6E-2</v>
      </c>
      <c r="F18" s="238" t="s">
        <v>202</v>
      </c>
      <c r="G18" s="238" t="s">
        <v>203</v>
      </c>
      <c r="H18" s="234"/>
      <c r="I18" s="237">
        <v>15</v>
      </c>
      <c r="J18" s="238" t="s">
        <v>81</v>
      </c>
      <c r="K18" s="238" t="s">
        <v>189</v>
      </c>
      <c r="L18" s="238">
        <v>2</v>
      </c>
      <c r="M18" s="238">
        <v>1.6E-2</v>
      </c>
      <c r="N18" s="238" t="s">
        <v>202</v>
      </c>
      <c r="O18" s="238" t="s">
        <v>203</v>
      </c>
      <c r="P18" s="234"/>
    </row>
    <row r="19" spans="1:16" ht="26.25" thickBot="1">
      <c r="A19" s="237">
        <v>16</v>
      </c>
      <c r="B19" s="238" t="s">
        <v>82</v>
      </c>
      <c r="C19" s="238" t="s">
        <v>186</v>
      </c>
      <c r="D19" s="238">
        <v>1</v>
      </c>
      <c r="E19" s="238">
        <v>0.13100000000000001</v>
      </c>
      <c r="F19" s="238" t="s">
        <v>202</v>
      </c>
      <c r="G19" s="238"/>
      <c r="H19" s="234"/>
      <c r="I19" s="237">
        <v>16</v>
      </c>
      <c r="J19" s="238" t="s">
        <v>82</v>
      </c>
      <c r="K19" s="238" t="s">
        <v>186</v>
      </c>
      <c r="L19" s="238">
        <v>1</v>
      </c>
      <c r="M19" s="238">
        <v>0.13100000000000001</v>
      </c>
      <c r="N19" s="238" t="s">
        <v>202</v>
      </c>
      <c r="O19" s="238"/>
      <c r="P19" s="234"/>
    </row>
    <row r="20" spans="1:16" ht="26.25" thickBot="1">
      <c r="A20" s="237">
        <v>17</v>
      </c>
      <c r="B20" s="238" t="s">
        <v>83</v>
      </c>
      <c r="C20" s="238" t="s">
        <v>189</v>
      </c>
      <c r="D20" s="238">
        <v>2</v>
      </c>
      <c r="E20" s="238">
        <v>3.3000000000000002E-2</v>
      </c>
      <c r="F20" s="238" t="s">
        <v>202</v>
      </c>
      <c r="G20" s="238" t="s">
        <v>203</v>
      </c>
      <c r="H20" s="234"/>
      <c r="I20" s="237">
        <v>17</v>
      </c>
      <c r="J20" s="238" t="s">
        <v>83</v>
      </c>
      <c r="K20" s="238" t="s">
        <v>189</v>
      </c>
      <c r="L20" s="238">
        <v>2</v>
      </c>
      <c r="M20" s="238">
        <v>3.3000000000000002E-2</v>
      </c>
      <c r="N20" s="238" t="s">
        <v>202</v>
      </c>
      <c r="O20" s="238" t="s">
        <v>203</v>
      </c>
      <c r="P20" s="234"/>
    </row>
    <row r="21" spans="1:16" ht="15.75" thickBot="1">
      <c r="A21" s="237">
        <v>18</v>
      </c>
      <c r="B21" s="238" t="s">
        <v>210</v>
      </c>
      <c r="C21" s="238" t="s">
        <v>186</v>
      </c>
      <c r="D21" s="238">
        <v>2</v>
      </c>
      <c r="E21" s="238">
        <v>6.4000000000000001E-2</v>
      </c>
      <c r="F21" s="238" t="s">
        <v>202</v>
      </c>
      <c r="G21" s="238"/>
      <c r="H21" s="234"/>
      <c r="I21" s="237">
        <v>18</v>
      </c>
      <c r="J21" s="238" t="s">
        <v>210</v>
      </c>
      <c r="K21" s="238" t="s">
        <v>186</v>
      </c>
      <c r="L21" s="238">
        <v>2</v>
      </c>
      <c r="M21" s="238">
        <v>6.4000000000000001E-2</v>
      </c>
      <c r="N21" s="238" t="s">
        <v>202</v>
      </c>
      <c r="O21" s="238"/>
      <c r="P21" s="234"/>
    </row>
    <row r="22" spans="1:16" ht="15.75" thickBot="1">
      <c r="A22" s="237">
        <v>19</v>
      </c>
      <c r="B22" s="238" t="s">
        <v>84</v>
      </c>
      <c r="C22" s="238" t="s">
        <v>186</v>
      </c>
      <c r="D22" s="238">
        <v>2</v>
      </c>
      <c r="E22" s="238">
        <v>0.19600000000000001</v>
      </c>
      <c r="F22" s="238" t="s">
        <v>202</v>
      </c>
      <c r="G22" s="238"/>
      <c r="H22" s="234"/>
      <c r="I22" s="237">
        <v>19</v>
      </c>
      <c r="J22" s="238" t="s">
        <v>84</v>
      </c>
      <c r="K22" s="238" t="s">
        <v>186</v>
      </c>
      <c r="L22" s="238">
        <v>2</v>
      </c>
      <c r="M22" s="238">
        <v>0.19600000000000001</v>
      </c>
      <c r="N22" s="238" t="s">
        <v>202</v>
      </c>
      <c r="O22" s="238"/>
      <c r="P22" s="234"/>
    </row>
    <row r="23" spans="1:16" ht="26.25" thickBot="1">
      <c r="A23" s="237">
        <v>20</v>
      </c>
      <c r="B23" s="238" t="s">
        <v>96</v>
      </c>
      <c r="C23" s="238" t="s">
        <v>189</v>
      </c>
      <c r="D23" s="238">
        <v>2</v>
      </c>
      <c r="E23" s="238">
        <v>3.3000000000000002E-2</v>
      </c>
      <c r="F23" s="238"/>
      <c r="G23" s="238" t="s">
        <v>203</v>
      </c>
      <c r="H23" s="234"/>
      <c r="I23" s="237">
        <v>20</v>
      </c>
      <c r="J23" s="238" t="s">
        <v>96</v>
      </c>
      <c r="K23" s="238" t="s">
        <v>189</v>
      </c>
      <c r="L23" s="238">
        <v>2</v>
      </c>
      <c r="M23" s="238">
        <v>3.3000000000000002E-2</v>
      </c>
      <c r="N23" s="238"/>
      <c r="O23" s="238" t="s">
        <v>203</v>
      </c>
      <c r="P23" s="234"/>
    </row>
    <row r="24" spans="1:16" ht="15.75" thickBot="1">
      <c r="A24" s="237">
        <v>21</v>
      </c>
      <c r="B24" s="238" t="s">
        <v>85</v>
      </c>
      <c r="C24" s="238" t="s">
        <v>186</v>
      </c>
      <c r="D24" s="238">
        <v>1</v>
      </c>
      <c r="E24" s="238">
        <v>0.14599999999999999</v>
      </c>
      <c r="F24" s="238" t="s">
        <v>202</v>
      </c>
      <c r="G24" s="238"/>
      <c r="H24" s="234"/>
      <c r="I24" s="237">
        <v>21</v>
      </c>
      <c r="J24" s="238" t="s">
        <v>85</v>
      </c>
      <c r="K24" s="238" t="s">
        <v>186</v>
      </c>
      <c r="L24" s="238">
        <v>1</v>
      </c>
      <c r="M24" s="238">
        <v>0.14599999999999999</v>
      </c>
      <c r="N24" s="238" t="s">
        <v>202</v>
      </c>
      <c r="O24" s="238"/>
      <c r="P24" s="234"/>
    </row>
    <row r="25" spans="1:16" ht="15.75" thickBot="1">
      <c r="A25" s="237">
        <v>22</v>
      </c>
      <c r="B25" s="238" t="s">
        <v>86</v>
      </c>
      <c r="C25" s="238" t="s">
        <v>189</v>
      </c>
      <c r="D25" s="238">
        <v>1</v>
      </c>
      <c r="E25" s="238">
        <v>0.16400000000000001</v>
      </c>
      <c r="F25" s="238" t="s">
        <v>202</v>
      </c>
      <c r="G25" s="238"/>
      <c r="H25" s="234"/>
      <c r="I25" s="237">
        <v>22</v>
      </c>
      <c r="J25" s="238" t="s">
        <v>86</v>
      </c>
      <c r="K25" s="238" t="s">
        <v>189</v>
      </c>
      <c r="L25" s="238">
        <v>1</v>
      </c>
      <c r="M25" s="238">
        <v>0.16400000000000001</v>
      </c>
      <c r="N25" s="238" t="s">
        <v>202</v>
      </c>
      <c r="O25" s="238"/>
      <c r="P25" s="234"/>
    </row>
    <row r="26" spans="1:16" ht="39" thickBot="1">
      <c r="A26" s="237">
        <v>23</v>
      </c>
      <c r="B26" s="238" t="s">
        <v>87</v>
      </c>
      <c r="C26" s="238" t="s">
        <v>186</v>
      </c>
      <c r="D26" s="238">
        <v>1</v>
      </c>
      <c r="E26" s="238">
        <v>4.9000000000000002E-2</v>
      </c>
      <c r="F26" s="238" t="s">
        <v>202</v>
      </c>
      <c r="G26" s="238"/>
      <c r="H26" s="234"/>
      <c r="I26" s="237">
        <v>23</v>
      </c>
      <c r="J26" s="238" t="s">
        <v>87</v>
      </c>
      <c r="K26" s="238" t="s">
        <v>186</v>
      </c>
      <c r="L26" s="238">
        <v>1</v>
      </c>
      <c r="M26" s="238">
        <v>4.9000000000000002E-2</v>
      </c>
      <c r="N26" s="238" t="s">
        <v>202</v>
      </c>
      <c r="O26" s="238"/>
      <c r="P26" s="234"/>
    </row>
    <row r="27" spans="1:16" ht="15.75" thickBot="1">
      <c r="A27" s="237">
        <v>24</v>
      </c>
      <c r="B27" s="238" t="s">
        <v>88</v>
      </c>
      <c r="C27" s="238" t="s">
        <v>211</v>
      </c>
      <c r="D27" s="238">
        <v>1</v>
      </c>
      <c r="E27" s="238">
        <v>9.8000000000000004E-2</v>
      </c>
      <c r="F27" s="238" t="s">
        <v>202</v>
      </c>
      <c r="G27" s="238"/>
      <c r="H27" s="234"/>
      <c r="I27" s="237">
        <v>24</v>
      </c>
      <c r="J27" s="238" t="s">
        <v>88</v>
      </c>
      <c r="K27" s="238" t="s">
        <v>211</v>
      </c>
      <c r="L27" s="238">
        <v>1</v>
      </c>
      <c r="M27" s="238">
        <v>9.8000000000000004E-2</v>
      </c>
      <c r="N27" s="238" t="s">
        <v>202</v>
      </c>
      <c r="O27" s="238"/>
      <c r="P27" s="234"/>
    </row>
    <row r="28" spans="1:16" ht="15.75" thickBot="1">
      <c r="A28" s="237">
        <v>25</v>
      </c>
      <c r="B28" s="238" t="s">
        <v>89</v>
      </c>
      <c r="C28" s="238" t="s">
        <v>118</v>
      </c>
      <c r="D28" s="238">
        <v>2</v>
      </c>
      <c r="E28" s="238">
        <v>0.13100000000000001</v>
      </c>
      <c r="F28" s="238" t="s">
        <v>202</v>
      </c>
      <c r="G28" s="238"/>
      <c r="H28" s="234"/>
      <c r="I28" s="237">
        <v>25</v>
      </c>
      <c r="J28" s="238" t="s">
        <v>89</v>
      </c>
      <c r="K28" s="238" t="s">
        <v>118</v>
      </c>
      <c r="L28" s="238">
        <v>2</v>
      </c>
      <c r="M28" s="238">
        <v>0.13100000000000001</v>
      </c>
      <c r="N28" s="238" t="s">
        <v>202</v>
      </c>
      <c r="O28" s="238"/>
      <c r="P28" s="234"/>
    </row>
    <row r="29" spans="1:16" ht="26.25" thickBot="1">
      <c r="A29" s="237">
        <v>26</v>
      </c>
      <c r="B29" s="241" t="s">
        <v>90</v>
      </c>
      <c r="C29" s="238"/>
      <c r="D29" s="238">
        <v>1</v>
      </c>
      <c r="E29" s="238">
        <v>0.49099999999999999</v>
      </c>
      <c r="F29" s="238" t="s">
        <v>202</v>
      </c>
      <c r="G29" s="238"/>
      <c r="H29" s="234"/>
      <c r="I29" s="237">
        <v>26</v>
      </c>
      <c r="J29" s="241" t="s">
        <v>90</v>
      </c>
      <c r="K29" s="238"/>
      <c r="L29" s="238">
        <v>1</v>
      </c>
      <c r="M29" s="238">
        <v>0.49099999999999999</v>
      </c>
      <c r="N29" s="238" t="s">
        <v>202</v>
      </c>
      <c r="O29" s="238"/>
      <c r="P29" s="234">
        <f>M29*(10^6)*73.3</f>
        <v>35990300</v>
      </c>
    </row>
    <row r="30" spans="1:16" ht="26.25" thickBot="1">
      <c r="A30" s="237">
        <v>27</v>
      </c>
      <c r="B30" s="241" t="s">
        <v>262</v>
      </c>
      <c r="C30" s="238"/>
      <c r="D30" s="238">
        <v>2</v>
      </c>
      <c r="E30" s="238">
        <v>1.36</v>
      </c>
      <c r="F30" s="238"/>
      <c r="G30" s="238" t="s">
        <v>209</v>
      </c>
      <c r="H30" s="234"/>
      <c r="I30" s="237">
        <v>27</v>
      </c>
      <c r="J30" s="241"/>
      <c r="K30" s="238"/>
      <c r="L30" s="238"/>
      <c r="M30" s="238">
        <v>1.36</v>
      </c>
      <c r="N30" s="238"/>
      <c r="O30" s="238"/>
      <c r="P30" s="234"/>
    </row>
    <row r="31" spans="1:16" ht="15.75" thickBot="1">
      <c r="A31" s="242"/>
      <c r="B31" s="243" t="s">
        <v>6</v>
      </c>
      <c r="C31" s="244"/>
      <c r="D31" s="245"/>
      <c r="E31" s="244">
        <f>SUM(E4:E30)</f>
        <v>5.367</v>
      </c>
      <c r="F31" s="244"/>
      <c r="G31" s="244"/>
      <c r="H31" s="234"/>
      <c r="I31" s="242"/>
      <c r="J31" s="243" t="s">
        <v>6</v>
      </c>
      <c r="K31" s="244"/>
      <c r="L31" s="245"/>
      <c r="M31" s="244">
        <f>SUM(M11:M30,M4:M8)</f>
        <v>4.8430000000000009</v>
      </c>
      <c r="N31" s="244"/>
      <c r="O31" s="244"/>
      <c r="P31" s="234"/>
    </row>
    <row r="32" spans="1:16" ht="15.75" thickBot="1">
      <c r="A32" s="246">
        <v>1.2</v>
      </c>
      <c r="B32" s="241" t="s">
        <v>91</v>
      </c>
      <c r="C32" s="238"/>
      <c r="D32" s="238"/>
      <c r="E32" s="238"/>
      <c r="F32" s="238"/>
      <c r="G32" s="238"/>
      <c r="H32" s="234"/>
      <c r="I32" s="246">
        <v>1.2</v>
      </c>
      <c r="J32" s="241" t="s">
        <v>91</v>
      </c>
      <c r="K32" s="238"/>
      <c r="L32" s="238"/>
      <c r="M32" s="238"/>
      <c r="N32" s="238"/>
      <c r="O32" s="238"/>
      <c r="P32" s="234"/>
    </row>
    <row r="33" spans="1:16" ht="15.75" thickBot="1">
      <c r="A33" s="246">
        <v>1</v>
      </c>
      <c r="B33" s="241" t="s">
        <v>92</v>
      </c>
      <c r="C33" s="238" t="s">
        <v>212</v>
      </c>
      <c r="D33" s="238">
        <v>2</v>
      </c>
      <c r="E33" s="238">
        <v>0.32700000000000001</v>
      </c>
      <c r="F33" s="238" t="s">
        <v>202</v>
      </c>
      <c r="G33" s="238"/>
      <c r="H33" s="234"/>
      <c r="I33" s="246">
        <v>1</v>
      </c>
      <c r="J33" s="241" t="s">
        <v>92</v>
      </c>
      <c r="K33" s="238" t="s">
        <v>212</v>
      </c>
      <c r="L33" s="238">
        <v>2</v>
      </c>
      <c r="M33" s="238">
        <v>0.32700000000000001</v>
      </c>
      <c r="N33" s="238" t="s">
        <v>202</v>
      </c>
      <c r="O33" s="238"/>
      <c r="P33" s="234"/>
    </row>
    <row r="34" spans="1:16" ht="15.75" thickBot="1">
      <c r="A34" s="246">
        <v>2</v>
      </c>
      <c r="B34" s="241" t="s">
        <v>94</v>
      </c>
      <c r="C34" s="238" t="s">
        <v>213</v>
      </c>
      <c r="D34" s="238">
        <v>1</v>
      </c>
      <c r="E34" s="238">
        <v>0.14699999999999999</v>
      </c>
      <c r="F34" s="238" t="s">
        <v>202</v>
      </c>
      <c r="G34" s="238"/>
      <c r="H34" s="234"/>
      <c r="I34" s="246">
        <v>2</v>
      </c>
      <c r="J34" s="241" t="s">
        <v>94</v>
      </c>
      <c r="K34" s="238" t="s">
        <v>213</v>
      </c>
      <c r="L34" s="238">
        <v>1</v>
      </c>
      <c r="M34" s="238">
        <v>0.14699999999999999</v>
      </c>
      <c r="N34" s="238" t="s">
        <v>202</v>
      </c>
      <c r="O34" s="238"/>
      <c r="P34" s="234"/>
    </row>
    <row r="35" spans="1:16" ht="15.75" thickBot="1">
      <c r="A35" s="237">
        <v>3</v>
      </c>
      <c r="B35" s="238" t="s">
        <v>214</v>
      </c>
      <c r="C35" s="238" t="s">
        <v>112</v>
      </c>
      <c r="D35" s="238">
        <v>1</v>
      </c>
      <c r="E35" s="238">
        <v>4.1000000000000002E-2</v>
      </c>
      <c r="F35" s="238" t="s">
        <v>202</v>
      </c>
      <c r="G35" s="238"/>
      <c r="H35" s="234"/>
      <c r="I35" s="237">
        <v>3</v>
      </c>
      <c r="J35" s="238" t="s">
        <v>214</v>
      </c>
      <c r="K35" s="238" t="s">
        <v>112</v>
      </c>
      <c r="L35" s="238">
        <v>1</v>
      </c>
      <c r="M35" s="238">
        <v>4.1000000000000002E-2</v>
      </c>
      <c r="N35" s="238" t="s">
        <v>202</v>
      </c>
      <c r="O35" s="238"/>
      <c r="P35" s="234"/>
    </row>
    <row r="36" spans="1:16" ht="39" thickBot="1">
      <c r="A36" s="237">
        <v>4</v>
      </c>
      <c r="B36" s="238" t="s">
        <v>96</v>
      </c>
      <c r="C36" s="238" t="s">
        <v>215</v>
      </c>
      <c r="D36" s="238">
        <v>4</v>
      </c>
      <c r="E36" s="238">
        <v>0.02</v>
      </c>
      <c r="F36" s="238" t="s">
        <v>202</v>
      </c>
      <c r="G36" s="238" t="s">
        <v>95</v>
      </c>
      <c r="H36" s="234"/>
      <c r="I36" s="237">
        <v>4</v>
      </c>
      <c r="J36" s="238" t="s">
        <v>96</v>
      </c>
      <c r="K36" s="238" t="s">
        <v>215</v>
      </c>
      <c r="L36" s="238">
        <v>4</v>
      </c>
      <c r="M36" s="238">
        <v>0.02</v>
      </c>
      <c r="N36" s="238" t="s">
        <v>202</v>
      </c>
      <c r="O36" s="238" t="s">
        <v>95</v>
      </c>
      <c r="P36" s="234"/>
    </row>
    <row r="37" spans="1:16" ht="15.75" thickBot="1">
      <c r="A37" s="246">
        <v>5</v>
      </c>
      <c r="B37" s="238" t="s">
        <v>98</v>
      </c>
      <c r="C37" s="238" t="s">
        <v>216</v>
      </c>
      <c r="D37" s="238">
        <v>1</v>
      </c>
      <c r="E37" s="238">
        <v>4.1000000000000002E-2</v>
      </c>
      <c r="F37" s="238" t="s">
        <v>202</v>
      </c>
      <c r="G37" s="238"/>
      <c r="H37" s="234"/>
      <c r="I37" s="237">
        <v>5</v>
      </c>
      <c r="J37" s="238" t="s">
        <v>98</v>
      </c>
      <c r="K37" s="238" t="s">
        <v>216</v>
      </c>
      <c r="L37" s="238">
        <v>1</v>
      </c>
      <c r="M37" s="238">
        <v>4.1000000000000002E-2</v>
      </c>
      <c r="N37" s="238" t="s">
        <v>202</v>
      </c>
      <c r="O37" s="238"/>
      <c r="P37" s="234"/>
    </row>
    <row r="38" spans="1:16" ht="15.75" thickBot="1">
      <c r="A38" s="246">
        <v>6</v>
      </c>
      <c r="B38" s="238" t="s">
        <v>99</v>
      </c>
      <c r="C38" s="238" t="s">
        <v>113</v>
      </c>
      <c r="D38" s="238">
        <v>1</v>
      </c>
      <c r="E38" s="238">
        <v>2.5000000000000001E-2</v>
      </c>
      <c r="F38" s="238" t="s">
        <v>202</v>
      </c>
      <c r="G38" s="238"/>
      <c r="H38" s="234"/>
      <c r="I38" s="237">
        <v>6</v>
      </c>
      <c r="J38" s="238" t="s">
        <v>99</v>
      </c>
      <c r="K38" s="238" t="s">
        <v>113</v>
      </c>
      <c r="L38" s="238">
        <v>1</v>
      </c>
      <c r="M38" s="238">
        <v>2.5000000000000001E-2</v>
      </c>
      <c r="N38" s="238" t="s">
        <v>202</v>
      </c>
      <c r="O38" s="238"/>
      <c r="P38" s="234"/>
    </row>
    <row r="39" spans="1:16" ht="15.75" thickBot="1">
      <c r="A39" s="237">
        <v>7</v>
      </c>
      <c r="B39" s="238" t="s">
        <v>100</v>
      </c>
      <c r="C39" s="238" t="s">
        <v>217</v>
      </c>
      <c r="D39" s="238">
        <v>1</v>
      </c>
      <c r="E39" s="238">
        <v>0.02</v>
      </c>
      <c r="F39" s="238" t="s">
        <v>202</v>
      </c>
      <c r="G39" s="238"/>
      <c r="H39" s="234"/>
      <c r="I39" s="237">
        <v>7</v>
      </c>
      <c r="J39" s="238" t="s">
        <v>100</v>
      </c>
      <c r="K39" s="238" t="s">
        <v>217</v>
      </c>
      <c r="L39" s="238">
        <v>1</v>
      </c>
      <c r="M39" s="238">
        <v>0.02</v>
      </c>
      <c r="N39" s="238" t="s">
        <v>202</v>
      </c>
      <c r="O39" s="238"/>
      <c r="P39" s="234"/>
    </row>
    <row r="40" spans="1:16" ht="21.75" customHeight="1" thickBot="1">
      <c r="A40" s="237">
        <v>8</v>
      </c>
      <c r="B40" s="238" t="s">
        <v>74</v>
      </c>
      <c r="C40" s="238" t="s">
        <v>218</v>
      </c>
      <c r="D40" s="238">
        <v>1</v>
      </c>
      <c r="E40" s="238">
        <v>0.4</v>
      </c>
      <c r="F40" s="238" t="s">
        <v>206</v>
      </c>
      <c r="G40" s="238"/>
      <c r="H40" s="234"/>
      <c r="I40" s="237">
        <v>8</v>
      </c>
      <c r="J40" s="238" t="s">
        <v>74</v>
      </c>
      <c r="K40" s="238" t="s">
        <v>218</v>
      </c>
      <c r="L40" s="238">
        <v>1</v>
      </c>
      <c r="M40" s="238">
        <v>0.4</v>
      </c>
      <c r="N40" s="238" t="s">
        <v>206</v>
      </c>
      <c r="O40" s="238"/>
      <c r="P40" s="234"/>
    </row>
    <row r="41" spans="1:16" ht="15.75" thickBot="1">
      <c r="A41" s="246">
        <v>9</v>
      </c>
      <c r="B41" s="238" t="s">
        <v>101</v>
      </c>
      <c r="C41" s="238" t="s">
        <v>219</v>
      </c>
      <c r="D41" s="238">
        <v>1</v>
      </c>
      <c r="E41" s="238">
        <v>0.02</v>
      </c>
      <c r="F41" s="238" t="s">
        <v>202</v>
      </c>
      <c r="G41" s="238"/>
      <c r="H41" s="234"/>
      <c r="I41" s="237">
        <v>9</v>
      </c>
      <c r="J41" s="238" t="s">
        <v>101</v>
      </c>
      <c r="K41" s="238" t="s">
        <v>219</v>
      </c>
      <c r="L41" s="238">
        <v>1</v>
      </c>
      <c r="M41" s="238">
        <v>0.02</v>
      </c>
      <c r="N41" s="238" t="s">
        <v>202</v>
      </c>
      <c r="O41" s="238"/>
      <c r="P41" s="234"/>
    </row>
    <row r="42" spans="1:16" ht="15.75" thickBot="1">
      <c r="A42" s="246">
        <v>10</v>
      </c>
      <c r="B42" s="238" t="s">
        <v>214</v>
      </c>
      <c r="C42" s="238" t="s">
        <v>220</v>
      </c>
      <c r="D42" s="238">
        <v>1</v>
      </c>
      <c r="E42" s="238">
        <v>3.3000000000000002E-2</v>
      </c>
      <c r="F42" s="238" t="s">
        <v>202</v>
      </c>
      <c r="G42" s="238"/>
      <c r="H42" s="234"/>
      <c r="I42" s="237">
        <v>10</v>
      </c>
      <c r="J42" s="238" t="s">
        <v>214</v>
      </c>
      <c r="K42" s="238" t="s">
        <v>220</v>
      </c>
      <c r="L42" s="238">
        <v>1</v>
      </c>
      <c r="M42" s="238">
        <v>3.3000000000000002E-2</v>
      </c>
      <c r="N42" s="238" t="s">
        <v>202</v>
      </c>
      <c r="O42" s="238"/>
      <c r="P42" s="234"/>
    </row>
    <row r="43" spans="1:16" ht="15.75" thickBot="1">
      <c r="A43" s="237">
        <v>11</v>
      </c>
      <c r="B43" s="238" t="s">
        <v>74</v>
      </c>
      <c r="C43" s="238" t="s">
        <v>221</v>
      </c>
      <c r="D43" s="238">
        <v>1</v>
      </c>
      <c r="E43" s="238">
        <v>0.4</v>
      </c>
      <c r="F43" s="238" t="s">
        <v>206</v>
      </c>
      <c r="G43" s="238"/>
      <c r="H43" s="234"/>
      <c r="I43" s="237">
        <v>11</v>
      </c>
      <c r="J43" s="238" t="s">
        <v>74</v>
      </c>
      <c r="K43" s="238" t="s">
        <v>221</v>
      </c>
      <c r="L43" s="238">
        <v>1</v>
      </c>
      <c r="M43" s="238">
        <v>0.4</v>
      </c>
      <c r="N43" s="238" t="s">
        <v>206</v>
      </c>
      <c r="O43" s="238"/>
      <c r="P43" s="234"/>
    </row>
    <row r="44" spans="1:16" ht="15.75" thickBot="1">
      <c r="A44" s="237">
        <v>12</v>
      </c>
      <c r="B44" s="238" t="s">
        <v>214</v>
      </c>
      <c r="C44" s="238" t="s">
        <v>220</v>
      </c>
      <c r="D44" s="238">
        <v>1</v>
      </c>
      <c r="E44" s="238">
        <v>4.9000000000000002E-2</v>
      </c>
      <c r="F44" s="238" t="s">
        <v>202</v>
      </c>
      <c r="G44" s="238"/>
      <c r="H44" s="234"/>
      <c r="I44" s="237">
        <v>12</v>
      </c>
      <c r="J44" s="238" t="s">
        <v>214</v>
      </c>
      <c r="K44" s="238" t="s">
        <v>220</v>
      </c>
      <c r="L44" s="238">
        <v>1</v>
      </c>
      <c r="M44" s="238">
        <v>4.9000000000000002E-2</v>
      </c>
      <c r="N44" s="238" t="s">
        <v>202</v>
      </c>
      <c r="O44" s="238"/>
      <c r="P44" s="234"/>
    </row>
    <row r="45" spans="1:16" ht="15.75" thickBot="1">
      <c r="A45" s="246">
        <v>13</v>
      </c>
      <c r="B45" s="238" t="s">
        <v>102</v>
      </c>
      <c r="C45" s="238" t="s">
        <v>114</v>
      </c>
      <c r="D45" s="238">
        <v>1</v>
      </c>
      <c r="E45" s="238">
        <v>3.0000000000000001E-3</v>
      </c>
      <c r="F45" s="238" t="s">
        <v>202</v>
      </c>
      <c r="G45" s="238"/>
      <c r="H45" s="234"/>
      <c r="I45" s="237">
        <v>13</v>
      </c>
      <c r="J45" s="238" t="s">
        <v>102</v>
      </c>
      <c r="K45" s="238" t="s">
        <v>114</v>
      </c>
      <c r="L45" s="238">
        <v>1</v>
      </c>
      <c r="M45" s="238">
        <v>3.0000000000000001E-3</v>
      </c>
      <c r="N45" s="238" t="s">
        <v>202</v>
      </c>
      <c r="O45" s="238"/>
      <c r="P45" s="234"/>
    </row>
    <row r="46" spans="1:16" ht="15.75" thickBot="1">
      <c r="A46" s="246">
        <v>14</v>
      </c>
      <c r="B46" s="238" t="s">
        <v>103</v>
      </c>
      <c r="C46" s="238" t="s">
        <v>222</v>
      </c>
      <c r="D46" s="238">
        <v>1</v>
      </c>
      <c r="E46" s="238">
        <v>1.6E-2</v>
      </c>
      <c r="F46" s="238" t="s">
        <v>202</v>
      </c>
      <c r="G46" s="238"/>
      <c r="H46" s="234"/>
      <c r="I46" s="237">
        <v>14</v>
      </c>
      <c r="J46" s="238" t="s">
        <v>103</v>
      </c>
      <c r="K46" s="238" t="s">
        <v>222</v>
      </c>
      <c r="L46" s="238">
        <v>1</v>
      </c>
      <c r="M46" s="238">
        <v>1.6E-2</v>
      </c>
      <c r="N46" s="238" t="s">
        <v>202</v>
      </c>
      <c r="O46" s="238"/>
      <c r="P46" s="234"/>
    </row>
    <row r="47" spans="1:16" ht="15.75" thickBot="1">
      <c r="A47" s="237">
        <v>15</v>
      </c>
      <c r="B47" s="238" t="s">
        <v>74</v>
      </c>
      <c r="C47" s="238" t="s">
        <v>223</v>
      </c>
      <c r="D47" s="238">
        <v>1</v>
      </c>
      <c r="E47" s="238">
        <v>0.4</v>
      </c>
      <c r="F47" s="238" t="s">
        <v>206</v>
      </c>
      <c r="G47" s="238"/>
      <c r="H47" s="234"/>
      <c r="I47" s="237">
        <v>15</v>
      </c>
      <c r="J47" s="238" t="s">
        <v>74</v>
      </c>
      <c r="K47" s="238" t="s">
        <v>223</v>
      </c>
      <c r="L47" s="238">
        <v>1</v>
      </c>
      <c r="M47" s="238">
        <v>0.4</v>
      </c>
      <c r="N47" s="238" t="s">
        <v>206</v>
      </c>
      <c r="O47" s="238"/>
      <c r="P47" s="234"/>
    </row>
    <row r="48" spans="1:16" ht="15.75" thickBot="1">
      <c r="A48" s="237">
        <v>16</v>
      </c>
      <c r="B48" s="238" t="s">
        <v>104</v>
      </c>
      <c r="C48" s="238" t="s">
        <v>219</v>
      </c>
      <c r="D48" s="238">
        <v>1</v>
      </c>
      <c r="E48" s="238">
        <v>5.0000000000000001E-3</v>
      </c>
      <c r="F48" s="238" t="s">
        <v>202</v>
      </c>
      <c r="G48" s="238"/>
      <c r="H48" s="234"/>
      <c r="I48" s="237">
        <v>16</v>
      </c>
      <c r="J48" s="238" t="s">
        <v>104</v>
      </c>
      <c r="K48" s="238" t="s">
        <v>219</v>
      </c>
      <c r="L48" s="238">
        <v>1</v>
      </c>
      <c r="M48" s="238">
        <v>5.0000000000000001E-3</v>
      </c>
      <c r="N48" s="238" t="s">
        <v>202</v>
      </c>
      <c r="O48" s="238"/>
      <c r="P48" s="234"/>
    </row>
    <row r="49" spans="1:16" ht="15.75" thickBot="1">
      <c r="A49" s="246">
        <v>17</v>
      </c>
      <c r="B49" s="238" t="s">
        <v>214</v>
      </c>
      <c r="C49" s="238" t="s">
        <v>220</v>
      </c>
      <c r="D49" s="238">
        <v>1</v>
      </c>
      <c r="E49" s="238">
        <v>4.9000000000000002E-2</v>
      </c>
      <c r="F49" s="238" t="s">
        <v>202</v>
      </c>
      <c r="G49" s="238"/>
      <c r="H49" s="234"/>
      <c r="I49" s="237">
        <v>17</v>
      </c>
      <c r="J49" s="238" t="s">
        <v>214</v>
      </c>
      <c r="K49" s="238" t="s">
        <v>220</v>
      </c>
      <c r="L49" s="238">
        <v>1</v>
      </c>
      <c r="M49" s="238">
        <v>4.9000000000000002E-2</v>
      </c>
      <c r="N49" s="238" t="s">
        <v>202</v>
      </c>
      <c r="O49" s="238"/>
      <c r="P49" s="234"/>
    </row>
    <row r="50" spans="1:16" ht="15.75" thickBot="1">
      <c r="A50" s="246">
        <v>18</v>
      </c>
      <c r="B50" s="238" t="s">
        <v>105</v>
      </c>
      <c r="C50" s="238" t="s">
        <v>222</v>
      </c>
      <c r="D50" s="238">
        <v>1</v>
      </c>
      <c r="E50" s="238">
        <v>1.6E-2</v>
      </c>
      <c r="F50" s="238" t="s">
        <v>202</v>
      </c>
      <c r="G50" s="238"/>
      <c r="H50" s="234"/>
      <c r="I50" s="237">
        <v>18</v>
      </c>
      <c r="J50" s="238" t="s">
        <v>105</v>
      </c>
      <c r="K50" s="238" t="s">
        <v>222</v>
      </c>
      <c r="L50" s="238">
        <v>1</v>
      </c>
      <c r="M50" s="238">
        <v>1.6E-2</v>
      </c>
      <c r="N50" s="238" t="s">
        <v>202</v>
      </c>
      <c r="O50" s="238"/>
      <c r="P50" s="234"/>
    </row>
    <row r="51" spans="1:16" ht="15.75" thickBot="1">
      <c r="A51" s="237">
        <v>19</v>
      </c>
      <c r="B51" s="238" t="s">
        <v>106</v>
      </c>
      <c r="C51" s="238" t="s">
        <v>224</v>
      </c>
      <c r="D51" s="238">
        <v>1</v>
      </c>
      <c r="E51" s="238">
        <v>0.32700000000000001</v>
      </c>
      <c r="F51" s="238" t="s">
        <v>206</v>
      </c>
      <c r="G51" s="238"/>
      <c r="H51" s="234"/>
      <c r="I51" s="237">
        <v>19</v>
      </c>
      <c r="J51" s="238" t="s">
        <v>106</v>
      </c>
      <c r="K51" s="238" t="s">
        <v>224</v>
      </c>
      <c r="L51" s="238">
        <v>1</v>
      </c>
      <c r="M51" s="238">
        <v>0.32700000000000001</v>
      </c>
      <c r="N51" s="238" t="s">
        <v>206</v>
      </c>
      <c r="O51" s="238"/>
      <c r="P51" s="234"/>
    </row>
    <row r="52" spans="1:16" ht="15.75" thickBot="1">
      <c r="A52" s="237">
        <v>20</v>
      </c>
      <c r="B52" s="238" t="s">
        <v>214</v>
      </c>
      <c r="C52" s="238" t="s">
        <v>225</v>
      </c>
      <c r="D52" s="238">
        <v>1</v>
      </c>
      <c r="E52" s="238">
        <v>6.5000000000000002E-2</v>
      </c>
      <c r="F52" s="238" t="s">
        <v>202</v>
      </c>
      <c r="G52" s="238"/>
      <c r="H52" s="234"/>
      <c r="I52" s="237">
        <v>20</v>
      </c>
      <c r="J52" s="238" t="s">
        <v>214</v>
      </c>
      <c r="K52" s="238" t="s">
        <v>225</v>
      </c>
      <c r="L52" s="238">
        <v>1</v>
      </c>
      <c r="M52" s="238">
        <v>6.5000000000000002E-2</v>
      </c>
      <c r="N52" s="238" t="s">
        <v>202</v>
      </c>
      <c r="O52" s="238"/>
      <c r="P52" s="234"/>
    </row>
    <row r="53" spans="1:16" ht="15.75" thickBot="1">
      <c r="A53" s="246">
        <v>21</v>
      </c>
      <c r="B53" s="238" t="s">
        <v>107</v>
      </c>
      <c r="C53" s="238" t="s">
        <v>226</v>
      </c>
      <c r="D53" s="238">
        <v>1</v>
      </c>
      <c r="E53" s="238">
        <v>1.6E-2</v>
      </c>
      <c r="F53" s="238" t="s">
        <v>202</v>
      </c>
      <c r="G53" s="238"/>
      <c r="H53" s="234"/>
      <c r="I53" s="237">
        <v>21</v>
      </c>
      <c r="J53" s="238" t="s">
        <v>107</v>
      </c>
      <c r="K53" s="238" t="s">
        <v>226</v>
      </c>
      <c r="L53" s="238">
        <v>1</v>
      </c>
      <c r="M53" s="238">
        <v>1.6E-2</v>
      </c>
      <c r="N53" s="238" t="s">
        <v>202</v>
      </c>
      <c r="O53" s="238"/>
      <c r="P53" s="234"/>
    </row>
    <row r="54" spans="1:16" ht="26.25" thickBot="1">
      <c r="A54" s="246">
        <v>22</v>
      </c>
      <c r="B54" s="238" t="s">
        <v>115</v>
      </c>
      <c r="C54" s="238" t="s">
        <v>116</v>
      </c>
      <c r="D54" s="238">
        <v>1</v>
      </c>
      <c r="E54" s="238">
        <v>3.3000000000000002E-2</v>
      </c>
      <c r="F54" s="238" t="s">
        <v>202</v>
      </c>
      <c r="G54" s="238"/>
      <c r="H54" s="234"/>
      <c r="I54" s="237">
        <v>22</v>
      </c>
      <c r="J54" s="238" t="s">
        <v>115</v>
      </c>
      <c r="K54" s="238" t="s">
        <v>116</v>
      </c>
      <c r="L54" s="238">
        <v>1</v>
      </c>
      <c r="M54" s="238">
        <v>3.3000000000000002E-2</v>
      </c>
      <c r="N54" s="238" t="s">
        <v>202</v>
      </c>
      <c r="O54" s="238"/>
      <c r="P54" s="234"/>
    </row>
    <row r="55" spans="1:16" ht="15.75" thickBot="1">
      <c r="A55" s="237">
        <v>23</v>
      </c>
      <c r="B55" s="238" t="s">
        <v>108</v>
      </c>
      <c r="C55" s="238" t="s">
        <v>227</v>
      </c>
      <c r="D55" s="238">
        <v>1</v>
      </c>
      <c r="E55" s="238">
        <v>6.5000000000000002E-2</v>
      </c>
      <c r="F55" s="238" t="s">
        <v>202</v>
      </c>
      <c r="G55" s="238"/>
      <c r="H55" s="234"/>
      <c r="I55" s="237">
        <v>23</v>
      </c>
      <c r="J55" s="238" t="s">
        <v>108</v>
      </c>
      <c r="K55" s="238" t="s">
        <v>227</v>
      </c>
      <c r="L55" s="238">
        <v>1</v>
      </c>
      <c r="M55" s="238">
        <v>6.5000000000000002E-2</v>
      </c>
      <c r="N55" s="238" t="s">
        <v>202</v>
      </c>
      <c r="O55" s="238"/>
      <c r="P55" s="234"/>
    </row>
    <row r="56" spans="1:16" ht="15.75" thickBot="1">
      <c r="A56" s="237">
        <v>24</v>
      </c>
      <c r="B56" s="238" t="s">
        <v>109</v>
      </c>
      <c r="C56" s="238" t="s">
        <v>117</v>
      </c>
      <c r="D56" s="238">
        <v>1</v>
      </c>
      <c r="E56" s="238">
        <v>0.13100000000000001</v>
      </c>
      <c r="F56" s="238" t="s">
        <v>202</v>
      </c>
      <c r="G56" s="238"/>
      <c r="H56" s="234"/>
      <c r="I56" s="237">
        <v>24</v>
      </c>
      <c r="J56" s="238" t="s">
        <v>109</v>
      </c>
      <c r="K56" s="238" t="s">
        <v>117</v>
      </c>
      <c r="L56" s="238">
        <v>1</v>
      </c>
      <c r="M56" s="238">
        <v>0.13100000000000001</v>
      </c>
      <c r="N56" s="238" t="s">
        <v>202</v>
      </c>
      <c r="O56" s="238"/>
      <c r="P56" s="234"/>
    </row>
    <row r="57" spans="1:16" ht="39" thickBot="1">
      <c r="A57" s="246">
        <v>25</v>
      </c>
      <c r="B57" s="238" t="s">
        <v>228</v>
      </c>
      <c r="C57" s="240" t="s">
        <v>275</v>
      </c>
      <c r="D57" s="238">
        <v>4</v>
      </c>
      <c r="E57" s="238">
        <v>9.8000000000000004E-2</v>
      </c>
      <c r="F57" s="238" t="s">
        <v>202</v>
      </c>
      <c r="G57" s="238"/>
      <c r="H57" s="234"/>
      <c r="I57" s="237">
        <v>25</v>
      </c>
      <c r="J57" s="238" t="s">
        <v>229</v>
      </c>
      <c r="K57" s="247" t="s">
        <v>276</v>
      </c>
      <c r="L57" s="238">
        <v>4</v>
      </c>
      <c r="M57" s="238">
        <v>9.8000000000000004E-2</v>
      </c>
      <c r="N57" s="238" t="s">
        <v>202</v>
      </c>
      <c r="O57" s="238"/>
      <c r="P57" s="234"/>
    </row>
    <row r="58" spans="1:16" ht="15.75" thickBot="1">
      <c r="A58" s="246">
        <v>26</v>
      </c>
      <c r="B58" s="238" t="s">
        <v>110</v>
      </c>
      <c r="C58" s="238" t="s">
        <v>230</v>
      </c>
      <c r="D58" s="238">
        <v>1</v>
      </c>
      <c r="E58" s="238">
        <v>2.5000000000000001E-2</v>
      </c>
      <c r="F58" s="238" t="s">
        <v>202</v>
      </c>
      <c r="G58" s="238"/>
      <c r="H58" s="234"/>
      <c r="I58" s="237">
        <v>26</v>
      </c>
      <c r="J58" s="238" t="s">
        <v>110</v>
      </c>
      <c r="K58" s="238" t="s">
        <v>230</v>
      </c>
      <c r="L58" s="238">
        <v>1</v>
      </c>
      <c r="M58" s="238">
        <v>2.5000000000000001E-2</v>
      </c>
      <c r="N58" s="238" t="s">
        <v>202</v>
      </c>
      <c r="O58" s="238"/>
      <c r="P58" s="234"/>
    </row>
    <row r="59" spans="1:16" ht="15.75" thickBot="1">
      <c r="A59" s="237">
        <v>27</v>
      </c>
      <c r="B59" s="238" t="s">
        <v>85</v>
      </c>
      <c r="C59" s="238" t="s">
        <v>97</v>
      </c>
      <c r="D59" s="238">
        <v>4</v>
      </c>
      <c r="E59" s="238">
        <v>0.69799999999999995</v>
      </c>
      <c r="F59" s="238" t="s">
        <v>202</v>
      </c>
      <c r="G59" s="238"/>
      <c r="H59" s="234"/>
      <c r="I59" s="237">
        <v>27</v>
      </c>
      <c r="J59" s="238" t="s">
        <v>85</v>
      </c>
      <c r="K59" s="238" t="s">
        <v>97</v>
      </c>
      <c r="L59" s="238">
        <v>4</v>
      </c>
      <c r="M59" s="238">
        <v>0.69799999999999995</v>
      </c>
      <c r="N59" s="238" t="s">
        <v>202</v>
      </c>
      <c r="O59" s="238"/>
      <c r="P59" s="234"/>
    </row>
    <row r="60" spans="1:16" ht="15.75" thickBot="1">
      <c r="A60" s="237">
        <v>28</v>
      </c>
      <c r="B60" s="238" t="s">
        <v>231</v>
      </c>
      <c r="C60" s="238" t="s">
        <v>232</v>
      </c>
      <c r="D60" s="238">
        <v>4</v>
      </c>
      <c r="E60" s="238">
        <v>9.8000000000000004E-2</v>
      </c>
      <c r="F60" s="238" t="s">
        <v>202</v>
      </c>
      <c r="G60" s="238"/>
      <c r="H60" s="234"/>
      <c r="I60" s="237">
        <v>28</v>
      </c>
      <c r="J60" s="238" t="s">
        <v>231</v>
      </c>
      <c r="K60" s="238" t="s">
        <v>232</v>
      </c>
      <c r="L60" s="238">
        <v>4</v>
      </c>
      <c r="M60" s="238">
        <v>9.8000000000000004E-2</v>
      </c>
      <c r="N60" s="238" t="s">
        <v>202</v>
      </c>
      <c r="O60" s="238"/>
      <c r="P60" s="234"/>
    </row>
    <row r="61" spans="1:16" ht="15.75" thickBot="1">
      <c r="A61" s="246">
        <v>29</v>
      </c>
      <c r="B61" s="238" t="s">
        <v>111</v>
      </c>
      <c r="C61" s="238" t="s">
        <v>226</v>
      </c>
      <c r="D61" s="238">
        <v>4</v>
      </c>
      <c r="E61" s="238">
        <v>7.9000000000000001E-2</v>
      </c>
      <c r="F61" s="238" t="s">
        <v>202</v>
      </c>
      <c r="G61" s="238"/>
      <c r="H61" s="234"/>
      <c r="I61" s="237">
        <v>29</v>
      </c>
      <c r="J61" s="238" t="s">
        <v>111</v>
      </c>
      <c r="K61" s="238" t="s">
        <v>226</v>
      </c>
      <c r="L61" s="238">
        <v>4</v>
      </c>
      <c r="M61" s="238">
        <v>7.9000000000000001E-2</v>
      </c>
      <c r="N61" s="238" t="s">
        <v>202</v>
      </c>
      <c r="O61" s="238"/>
      <c r="P61" s="234"/>
    </row>
    <row r="62" spans="1:16" ht="15.75" thickBot="1">
      <c r="A62" s="246">
        <v>30</v>
      </c>
      <c r="B62" s="238" t="s">
        <v>96</v>
      </c>
      <c r="C62" s="238" t="s">
        <v>215</v>
      </c>
      <c r="D62" s="238">
        <v>5</v>
      </c>
      <c r="E62" s="238">
        <v>8.2000000000000003E-2</v>
      </c>
      <c r="F62" s="238" t="s">
        <v>202</v>
      </c>
      <c r="G62" s="238"/>
      <c r="H62" s="234"/>
      <c r="I62" s="237">
        <v>30</v>
      </c>
      <c r="J62" s="238" t="s">
        <v>96</v>
      </c>
      <c r="K62" s="238" t="s">
        <v>215</v>
      </c>
      <c r="L62" s="238">
        <v>5</v>
      </c>
      <c r="M62" s="238">
        <v>8.2000000000000003E-2</v>
      </c>
      <c r="N62" s="238" t="s">
        <v>202</v>
      </c>
      <c r="O62" s="238"/>
      <c r="P62" s="234"/>
    </row>
    <row r="63" spans="1:16" ht="15.75" thickBot="1">
      <c r="A63" s="248"/>
      <c r="B63" s="239" t="s">
        <v>6</v>
      </c>
      <c r="C63" s="239"/>
      <c r="D63" s="239"/>
      <c r="E63" s="239">
        <f>SUM(E33:E62)</f>
        <v>3.7289999999999996</v>
      </c>
      <c r="F63" s="239"/>
      <c r="G63" s="239"/>
      <c r="H63" s="234"/>
      <c r="I63" s="249"/>
      <c r="J63" s="239" t="s">
        <v>6</v>
      </c>
      <c r="K63" s="239"/>
      <c r="L63" s="239"/>
      <c r="M63" s="239">
        <f>SUM(M33:M62)</f>
        <v>3.7289999999999996</v>
      </c>
      <c r="N63" s="239"/>
      <c r="O63" s="238"/>
      <c r="P63" s="234"/>
    </row>
    <row r="64" spans="1:16" ht="15.75" thickBot="1">
      <c r="A64" s="250">
        <v>1.3</v>
      </c>
      <c r="B64" s="244" t="s">
        <v>126</v>
      </c>
      <c r="C64" s="244" t="s">
        <v>127</v>
      </c>
      <c r="D64" s="244"/>
      <c r="E64" s="244">
        <v>0.47699999999999998</v>
      </c>
      <c r="F64" s="244"/>
      <c r="G64" s="244"/>
      <c r="H64" s="234"/>
      <c r="I64" s="250">
        <v>1.3</v>
      </c>
      <c r="J64" s="244" t="s">
        <v>126</v>
      </c>
      <c r="K64" s="244" t="s">
        <v>127</v>
      </c>
      <c r="L64" s="244"/>
      <c r="M64" s="244">
        <v>0.47699999999999998</v>
      </c>
      <c r="N64" s="244"/>
      <c r="O64" s="244"/>
      <c r="P64" s="234"/>
    </row>
    <row r="65" spans="1:16" ht="15.75" thickBot="1">
      <c r="A65" s="250">
        <v>1.4</v>
      </c>
      <c r="B65" s="244" t="s">
        <v>277</v>
      </c>
      <c r="C65" s="244" t="s">
        <v>278</v>
      </c>
      <c r="D65" s="244"/>
      <c r="E65" s="244">
        <v>0.27</v>
      </c>
      <c r="F65" s="244"/>
      <c r="G65" s="244"/>
      <c r="H65" s="234"/>
      <c r="I65" s="250">
        <v>1.4</v>
      </c>
      <c r="J65" s="244" t="s">
        <v>277</v>
      </c>
      <c r="K65" s="244" t="s">
        <v>278</v>
      </c>
      <c r="L65" s="244"/>
      <c r="M65" s="244">
        <v>0.27</v>
      </c>
      <c r="N65" s="244"/>
      <c r="O65" s="244"/>
      <c r="P65" s="234"/>
    </row>
    <row r="66" spans="1:16" ht="26.25" thickBot="1">
      <c r="A66" s="248"/>
      <c r="B66" s="238" t="s">
        <v>279</v>
      </c>
      <c r="C66" s="238"/>
      <c r="D66" s="238"/>
      <c r="E66" s="247">
        <f>E64+E63+E31+E65</f>
        <v>9.843</v>
      </c>
      <c r="F66" s="238"/>
      <c r="G66" s="251"/>
      <c r="H66" s="234"/>
      <c r="I66" s="248"/>
      <c r="J66" s="238" t="s">
        <v>279</v>
      </c>
      <c r="K66" s="238"/>
      <c r="L66" s="238"/>
      <c r="M66" s="247">
        <f>M64+M63+M31+M65</f>
        <v>9.3189999999999991</v>
      </c>
      <c r="N66" s="238"/>
      <c r="O66" s="251"/>
      <c r="P66" s="234"/>
    </row>
    <row r="67" spans="1:16" ht="15.75">
      <c r="A67" s="89"/>
    </row>
  </sheetData>
  <mergeCells count="15">
    <mergeCell ref="K9:O10"/>
    <mergeCell ref="A1:G1"/>
    <mergeCell ref="I1:O1"/>
    <mergeCell ref="A2:A3"/>
    <mergeCell ref="B2:B3"/>
    <mergeCell ref="C2:C3"/>
    <mergeCell ref="D2:D3"/>
    <mergeCell ref="F2:F3"/>
    <mergeCell ref="G2:G3"/>
    <mergeCell ref="I2:I3"/>
    <mergeCell ref="J2:J3"/>
    <mergeCell ref="K2:K3"/>
    <mergeCell ref="L2:L3"/>
    <mergeCell ref="N2:N3"/>
    <mergeCell ref="O2:O3"/>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57482E-F184-4120-81F6-13668903C5E2}">
  <dimension ref="A1:C21"/>
  <sheetViews>
    <sheetView showGridLines="0" workbookViewId="0">
      <selection activeCell="C4" sqref="C4"/>
    </sheetView>
  </sheetViews>
  <sheetFormatPr defaultRowHeight="15"/>
  <cols>
    <col min="1" max="1" width="3" bestFit="1" customWidth="1"/>
    <col min="2" max="2" width="33.140625" customWidth="1"/>
    <col min="3" max="3" width="18.42578125" bestFit="1" customWidth="1"/>
  </cols>
  <sheetData>
    <row r="1" spans="1:3">
      <c r="A1" s="102"/>
      <c r="B1" s="103" t="s">
        <v>12</v>
      </c>
      <c r="C1" s="104" t="s">
        <v>9</v>
      </c>
    </row>
    <row r="2" spans="1:3">
      <c r="A2" s="91" t="s">
        <v>1</v>
      </c>
      <c r="B2" s="90" t="s">
        <v>13</v>
      </c>
      <c r="C2" s="92">
        <f>C12+C3</f>
        <v>35002487.780000001</v>
      </c>
    </row>
    <row r="3" spans="1:3">
      <c r="A3" s="93" t="s">
        <v>14</v>
      </c>
      <c r="B3" s="48" t="s">
        <v>15</v>
      </c>
      <c r="C3" s="94">
        <f>SUM(C4:C11)</f>
        <v>25313507.359999999</v>
      </c>
    </row>
    <row r="4" spans="1:3" ht="24">
      <c r="A4" s="95">
        <v>1</v>
      </c>
      <c r="B4" s="31" t="s">
        <v>16</v>
      </c>
      <c r="C4" s="96">
        <f>'Equipment List '!M66*10^6</f>
        <v>9318999.9999999981</v>
      </c>
    </row>
    <row r="5" spans="1:3">
      <c r="A5" s="95">
        <v>2</v>
      </c>
      <c r="B5" s="31" t="s">
        <v>17</v>
      </c>
      <c r="C5" s="96">
        <v>2998970.13</v>
      </c>
    </row>
    <row r="6" spans="1:3">
      <c r="A6" s="95">
        <v>3</v>
      </c>
      <c r="B6" s="31" t="s">
        <v>18</v>
      </c>
      <c r="C6" s="96">
        <v>1999313.4200000002</v>
      </c>
    </row>
    <row r="7" spans="1:3">
      <c r="A7" s="95">
        <v>4</v>
      </c>
      <c r="B7" s="31" t="s">
        <v>19</v>
      </c>
      <c r="C7" s="96">
        <v>2383796.77</v>
      </c>
    </row>
    <row r="8" spans="1:3">
      <c r="A8" s="95">
        <v>5</v>
      </c>
      <c r="B8" s="31" t="s">
        <v>20</v>
      </c>
      <c r="C8" s="96">
        <v>768966.70000000007</v>
      </c>
    </row>
    <row r="9" spans="1:3">
      <c r="A9" s="95">
        <v>6</v>
      </c>
      <c r="B9" s="31" t="s">
        <v>21</v>
      </c>
      <c r="C9" s="96">
        <v>2230003.4299999997</v>
      </c>
    </row>
    <row r="10" spans="1:3">
      <c r="A10" s="95">
        <v>7</v>
      </c>
      <c r="B10" s="31" t="s">
        <v>22</v>
      </c>
      <c r="C10" s="96">
        <v>4229316.8500000006</v>
      </c>
    </row>
    <row r="11" spans="1:3">
      <c r="A11" s="95">
        <v>8</v>
      </c>
      <c r="B11" s="31" t="s">
        <v>233</v>
      </c>
      <c r="C11" s="96">
        <v>1384140.0599999987</v>
      </c>
    </row>
    <row r="12" spans="1:3" ht="24">
      <c r="A12" s="97" t="s">
        <v>23</v>
      </c>
      <c r="B12" s="49" t="s">
        <v>24</v>
      </c>
      <c r="C12" s="98">
        <f>SUM(C13:C17)</f>
        <v>9688980.4200000018</v>
      </c>
    </row>
    <row r="13" spans="1:3">
      <c r="A13" s="95">
        <v>9</v>
      </c>
      <c r="B13" s="31" t="s">
        <v>25</v>
      </c>
      <c r="C13" s="96">
        <v>2460693.44</v>
      </c>
    </row>
    <row r="14" spans="1:3">
      <c r="A14" s="95">
        <v>10</v>
      </c>
      <c r="B14" s="31" t="s">
        <v>26</v>
      </c>
      <c r="C14" s="96">
        <v>2614486.7800000003</v>
      </c>
    </row>
    <row r="15" spans="1:3">
      <c r="A15" s="95">
        <v>11</v>
      </c>
      <c r="B15" s="31" t="s">
        <v>27</v>
      </c>
      <c r="C15" s="96">
        <v>307586.68</v>
      </c>
    </row>
    <row r="16" spans="1:3">
      <c r="A16" s="95">
        <v>12</v>
      </c>
      <c r="B16" s="31" t="s">
        <v>28</v>
      </c>
      <c r="C16" s="96">
        <v>1461036.73</v>
      </c>
    </row>
    <row r="17" spans="1:3">
      <c r="A17" s="95">
        <v>13</v>
      </c>
      <c r="B17" s="31" t="s">
        <v>29</v>
      </c>
      <c r="C17" s="96">
        <v>2845176.79</v>
      </c>
    </row>
    <row r="18" spans="1:3">
      <c r="A18" s="97" t="s">
        <v>2</v>
      </c>
      <c r="B18" s="49" t="s">
        <v>30</v>
      </c>
      <c r="C18" s="98">
        <f>C19</f>
        <v>768966.70000000007</v>
      </c>
    </row>
    <row r="19" spans="1:3">
      <c r="A19" s="95">
        <v>14</v>
      </c>
      <c r="B19" s="31" t="s">
        <v>31</v>
      </c>
      <c r="C19" s="96">
        <v>768966.70000000007</v>
      </c>
    </row>
    <row r="20" spans="1:3" ht="15.75" thickBot="1">
      <c r="A20" s="99"/>
      <c r="B20" s="100" t="s">
        <v>234</v>
      </c>
      <c r="C20" s="101">
        <f>C2+C18</f>
        <v>35771454.480000004</v>
      </c>
    </row>
    <row r="21" spans="1:3">
      <c r="A21" s="9"/>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C8149A-6F29-4A5D-B8D1-14D023BD2332}">
  <dimension ref="A1:Q87"/>
  <sheetViews>
    <sheetView showGridLines="0" topLeftCell="A32" zoomScale="96" zoomScaleNormal="96" workbookViewId="0">
      <selection activeCell="F54" sqref="F54"/>
    </sheetView>
  </sheetViews>
  <sheetFormatPr defaultRowHeight="15"/>
  <cols>
    <col min="1" max="1" width="4.28515625" bestFit="1" customWidth="1"/>
    <col min="2" max="2" width="85" customWidth="1"/>
    <col min="3" max="3" width="15.85546875" customWidth="1"/>
    <col min="4" max="4" width="20.85546875" customWidth="1"/>
    <col min="5" max="5" width="47.7109375" style="166" customWidth="1"/>
    <col min="6" max="6" width="13.85546875" bestFit="1" customWidth="1"/>
    <col min="7" max="7" width="16.42578125" customWidth="1"/>
    <col min="8" max="8" width="14.7109375" customWidth="1"/>
    <col min="9" max="9" width="14.85546875" customWidth="1"/>
    <col min="10" max="10" width="14.5703125" customWidth="1"/>
    <col min="11" max="11" width="11.85546875" customWidth="1"/>
    <col min="12" max="12" width="12.28515625" customWidth="1"/>
    <col min="13" max="13" width="13.140625" customWidth="1"/>
    <col min="14" max="14" width="12" customWidth="1"/>
    <col min="15" max="15" width="15.7109375" customWidth="1"/>
    <col min="16" max="16" width="11.5703125" customWidth="1"/>
    <col min="17" max="17" width="13.5703125" customWidth="1"/>
  </cols>
  <sheetData>
    <row r="1" spans="1:17">
      <c r="D1" s="174">
        <v>2021</v>
      </c>
      <c r="E1" s="221" t="s">
        <v>93</v>
      </c>
      <c r="F1" s="174">
        <v>2022</v>
      </c>
      <c r="G1" s="174">
        <v>2023</v>
      </c>
      <c r="H1" s="174">
        <v>2024</v>
      </c>
      <c r="I1" s="174">
        <v>2025</v>
      </c>
      <c r="J1" s="174">
        <v>2026</v>
      </c>
      <c r="K1" s="174">
        <v>2027</v>
      </c>
      <c r="L1" s="174">
        <v>2028</v>
      </c>
      <c r="M1" s="174">
        <v>2029</v>
      </c>
      <c r="N1" s="174">
        <v>2030</v>
      </c>
      <c r="O1" s="174">
        <v>2031</v>
      </c>
      <c r="P1" s="174">
        <v>2032</v>
      </c>
      <c r="Q1" s="174">
        <v>2033</v>
      </c>
    </row>
    <row r="2" spans="1:17" ht="15.75" thickBot="1">
      <c r="A2" s="271" t="s">
        <v>307</v>
      </c>
      <c r="B2" s="271"/>
      <c r="C2" s="271"/>
      <c r="D2" s="271"/>
      <c r="E2" s="271"/>
    </row>
    <row r="3" spans="1:17">
      <c r="A3" s="109"/>
      <c r="B3" s="110" t="s">
        <v>263</v>
      </c>
      <c r="C3" s="111"/>
      <c r="D3" s="202" t="s">
        <v>9</v>
      </c>
      <c r="E3" s="222"/>
    </row>
    <row r="4" spans="1:17">
      <c r="A4" s="113" t="s">
        <v>3</v>
      </c>
      <c r="B4" s="87" t="s">
        <v>32</v>
      </c>
      <c r="C4" s="86" t="s">
        <v>265</v>
      </c>
      <c r="D4" s="201">
        <f>+D5+D8+D10+D13</f>
        <v>128730072.84390953</v>
      </c>
      <c r="E4" s="223"/>
      <c r="F4" s="203">
        <f>F5+F6</f>
        <v>120894620</v>
      </c>
      <c r="G4" s="185">
        <f t="shared" ref="G4:N4" si="0">G5+G6</f>
        <v>122708039.3</v>
      </c>
      <c r="H4" s="185">
        <f t="shared" si="0"/>
        <v>124548659.88949999</v>
      </c>
      <c r="I4" s="185">
        <f t="shared" si="0"/>
        <v>126416889.7878425</v>
      </c>
      <c r="J4" s="185">
        <f t="shared" si="0"/>
        <v>128313143.13466014</v>
      </c>
      <c r="K4" s="185">
        <f t="shared" si="0"/>
        <v>130237840.28168005</v>
      </c>
      <c r="L4" s="185">
        <f t="shared" si="0"/>
        <v>132191407.88590524</v>
      </c>
      <c r="M4" s="185">
        <f t="shared" si="0"/>
        <v>134174279.00419381</v>
      </c>
      <c r="N4" s="185">
        <f t="shared" si="0"/>
        <v>136186893.18925673</v>
      </c>
      <c r="O4" s="185">
        <f t="shared" ref="O4" si="1">O5+O6</f>
        <v>138229696.58709556</v>
      </c>
      <c r="P4" s="185">
        <f t="shared" ref="P4" si="2">P5+P6</f>
        <v>140303142.03590202</v>
      </c>
      <c r="Q4" s="185">
        <f t="shared" ref="Q4" si="3">Q5+Q6</f>
        <v>142407689.16644055</v>
      </c>
    </row>
    <row r="5" spans="1:17">
      <c r="A5" s="115" t="s">
        <v>10</v>
      </c>
      <c r="B5" s="105" t="s">
        <v>181</v>
      </c>
      <c r="C5" s="106"/>
      <c r="D5" s="175">
        <f>D6+D7</f>
        <v>119108000</v>
      </c>
      <c r="E5" s="224"/>
      <c r="F5" s="204">
        <f>D6+D6*1.5%</f>
        <v>105263620</v>
      </c>
      <c r="G5" s="124">
        <f t="shared" ref="G5:Q6" si="4">F5+F5*1.5%</f>
        <v>106842574.3</v>
      </c>
      <c r="H5" s="124">
        <f t="shared" si="4"/>
        <v>108445212.9145</v>
      </c>
      <c r="I5" s="124">
        <f t="shared" si="4"/>
        <v>110071891.10821749</v>
      </c>
      <c r="J5" s="124">
        <f t="shared" si="4"/>
        <v>111722969.47484076</v>
      </c>
      <c r="K5" s="124">
        <f t="shared" si="4"/>
        <v>113398814.01696338</v>
      </c>
      <c r="L5" s="124">
        <f t="shared" si="4"/>
        <v>115099796.22721782</v>
      </c>
      <c r="M5" s="124">
        <f t="shared" si="4"/>
        <v>116826293.17062609</v>
      </c>
      <c r="N5" s="124">
        <f t="shared" si="4"/>
        <v>118578687.56818548</v>
      </c>
      <c r="O5" s="124">
        <f t="shared" si="4"/>
        <v>120357367.88170826</v>
      </c>
      <c r="P5" s="124">
        <f t="shared" si="4"/>
        <v>122162728.39993389</v>
      </c>
      <c r="Q5" s="124">
        <f t="shared" si="4"/>
        <v>123995169.32593291</v>
      </c>
    </row>
    <row r="6" spans="1:17">
      <c r="A6" s="95">
        <v>1</v>
      </c>
      <c r="B6" s="32" t="s">
        <v>181</v>
      </c>
      <c r="C6" s="107" t="s">
        <v>37</v>
      </c>
      <c r="D6" s="176">
        <f>(2357*44000)</f>
        <v>103708000</v>
      </c>
      <c r="E6" s="225" t="s">
        <v>281</v>
      </c>
      <c r="F6" s="204">
        <f>D7+D7*1.5%</f>
        <v>15631000</v>
      </c>
      <c r="G6" s="124">
        <f t="shared" si="4"/>
        <v>15865465</v>
      </c>
      <c r="H6" s="124">
        <f t="shared" si="4"/>
        <v>16103446.975</v>
      </c>
      <c r="I6" s="124">
        <f t="shared" si="4"/>
        <v>16344998.679624999</v>
      </c>
      <c r="J6" s="124">
        <f t="shared" si="4"/>
        <v>16590173.659819374</v>
      </c>
      <c r="K6" s="124">
        <f t="shared" si="4"/>
        <v>16839026.264716666</v>
      </c>
      <c r="L6" s="124">
        <f t="shared" si="4"/>
        <v>17091611.658687416</v>
      </c>
      <c r="M6" s="124">
        <f t="shared" si="4"/>
        <v>17347985.833567727</v>
      </c>
      <c r="N6" s="124">
        <f t="shared" si="4"/>
        <v>17608205.621071242</v>
      </c>
      <c r="O6" s="124">
        <f t="shared" si="4"/>
        <v>17872328.705387309</v>
      </c>
      <c r="P6" s="124">
        <f t="shared" si="4"/>
        <v>18140413.635968119</v>
      </c>
      <c r="Q6" s="124">
        <f t="shared" si="4"/>
        <v>18412519.840507641</v>
      </c>
    </row>
    <row r="7" spans="1:17">
      <c r="A7" s="95">
        <v>2</v>
      </c>
      <c r="B7" s="32" t="s">
        <v>193</v>
      </c>
      <c r="C7" s="107"/>
      <c r="D7" s="176">
        <f>350*44000</f>
        <v>15400000</v>
      </c>
      <c r="E7" s="225" t="s">
        <v>280</v>
      </c>
      <c r="F7" s="205">
        <f t="shared" ref="F7:Q7" si="5">F8</f>
        <v>1448228.5714285716</v>
      </c>
      <c r="G7" s="177">
        <f t="shared" si="5"/>
        <v>1564086.8571428573</v>
      </c>
      <c r="H7" s="177">
        <f t="shared" si="5"/>
        <v>1689213.8057142859</v>
      </c>
      <c r="I7" s="177">
        <f t="shared" si="5"/>
        <v>1824350.9101714287</v>
      </c>
      <c r="J7" s="177">
        <f t="shared" si="5"/>
        <v>1970298.9829851431</v>
      </c>
      <c r="K7" s="177">
        <f t="shared" si="5"/>
        <v>2127922.9016239545</v>
      </c>
      <c r="L7" s="177">
        <f t="shared" si="5"/>
        <v>2298156.7337538707</v>
      </c>
      <c r="M7" s="177">
        <f t="shared" si="5"/>
        <v>2482009.2724541803</v>
      </c>
      <c r="N7" s="177">
        <f t="shared" si="5"/>
        <v>2680570.0142505146</v>
      </c>
      <c r="O7" s="177">
        <f t="shared" si="5"/>
        <v>2895015.6153905559</v>
      </c>
      <c r="P7" s="177">
        <f t="shared" si="5"/>
        <v>3126616.8646218004</v>
      </c>
      <c r="Q7" s="177">
        <f t="shared" si="5"/>
        <v>3376746.2137915445</v>
      </c>
    </row>
    <row r="8" spans="1:17">
      <c r="A8" s="115" t="s">
        <v>11</v>
      </c>
      <c r="B8" s="105" t="s">
        <v>132</v>
      </c>
      <c r="C8" s="106"/>
      <c r="D8" s="177">
        <f>D9</f>
        <v>1340952.3809523811</v>
      </c>
      <c r="E8" s="224"/>
      <c r="F8" s="204">
        <f>D9+D9*8%</f>
        <v>1448228.5714285716</v>
      </c>
      <c r="G8" s="124">
        <f t="shared" ref="G8:Q8" si="6">F8+F8*8%</f>
        <v>1564086.8571428573</v>
      </c>
      <c r="H8" s="124">
        <f t="shared" si="6"/>
        <v>1689213.8057142859</v>
      </c>
      <c r="I8" s="124">
        <f t="shared" si="6"/>
        <v>1824350.9101714287</v>
      </c>
      <c r="J8" s="124">
        <f t="shared" si="6"/>
        <v>1970298.9829851431</v>
      </c>
      <c r="K8" s="124">
        <f t="shared" si="6"/>
        <v>2127922.9016239545</v>
      </c>
      <c r="L8" s="124">
        <f t="shared" si="6"/>
        <v>2298156.7337538707</v>
      </c>
      <c r="M8" s="124">
        <f t="shared" si="6"/>
        <v>2482009.2724541803</v>
      </c>
      <c r="N8" s="124">
        <f t="shared" si="6"/>
        <v>2680570.0142505146</v>
      </c>
      <c r="O8" s="124">
        <f t="shared" si="6"/>
        <v>2895015.6153905559</v>
      </c>
      <c r="P8" s="124">
        <f t="shared" si="6"/>
        <v>3126616.8646218004</v>
      </c>
      <c r="Q8" s="124">
        <f t="shared" si="6"/>
        <v>3376746.2137915445</v>
      </c>
    </row>
    <row r="9" spans="1:17">
      <c r="A9" s="95">
        <v>3</v>
      </c>
      <c r="B9" s="32" t="s">
        <v>196</v>
      </c>
      <c r="C9" s="107" t="s">
        <v>37</v>
      </c>
      <c r="D9" s="176">
        <f>('Salary and WagesCost Estimation'!D11*10^6)*44000/84000</f>
        <v>1340952.3809523811</v>
      </c>
      <c r="E9" s="225" t="s">
        <v>293</v>
      </c>
      <c r="F9" s="206">
        <f t="shared" ref="F9:Q9" si="7">F10+F11</f>
        <v>6934898.8138392856</v>
      </c>
      <c r="G9" s="178">
        <f t="shared" si="7"/>
        <v>7054386.7190122772</v>
      </c>
      <c r="H9" s="178">
        <f t="shared" si="7"/>
        <v>7176024.2563999295</v>
      </c>
      <c r="I9" s="178">
        <f t="shared" si="7"/>
        <v>7299851.4170729294</v>
      </c>
      <c r="J9" s="178">
        <f t="shared" si="7"/>
        <v>7425908.9544037003</v>
      </c>
      <c r="K9" s="178">
        <f t="shared" si="7"/>
        <v>7554238.3988434533</v>
      </c>
      <c r="L9" s="178">
        <f t="shared" si="7"/>
        <v>7684882.0729888976</v>
      </c>
      <c r="M9" s="178">
        <f t="shared" si="7"/>
        <v>7817883.1069443589</v>
      </c>
      <c r="N9" s="178">
        <f t="shared" si="7"/>
        <v>7953285.4539851248</v>
      </c>
      <c r="O9" s="178">
        <f t="shared" si="7"/>
        <v>8091133.9065279793</v>
      </c>
      <c r="P9" s="178">
        <f t="shared" si="7"/>
        <v>8231474.1124149794</v>
      </c>
      <c r="Q9" s="178">
        <f t="shared" si="7"/>
        <v>8374352.5915166764</v>
      </c>
    </row>
    <row r="10" spans="1:17">
      <c r="A10" s="115" t="s">
        <v>45</v>
      </c>
      <c r="B10" s="105" t="s">
        <v>172</v>
      </c>
      <c r="C10" s="106"/>
      <c r="D10" s="178">
        <f>D11+D12</f>
        <v>6817521.2976190476</v>
      </c>
      <c r="E10" s="224"/>
      <c r="F10" s="204">
        <f>D11+D11*2%</f>
        <v>4373556</v>
      </c>
      <c r="G10" s="124">
        <f t="shared" ref="G10:Q10" si="8">F10+F10*2%</f>
        <v>4461027.12</v>
      </c>
      <c r="H10" s="124">
        <f t="shared" si="8"/>
        <v>4550247.6623999998</v>
      </c>
      <c r="I10" s="124">
        <f t="shared" si="8"/>
        <v>4641252.6156479996</v>
      </c>
      <c r="J10" s="124">
        <f t="shared" si="8"/>
        <v>4734077.6679609595</v>
      </c>
      <c r="K10" s="124">
        <f t="shared" si="8"/>
        <v>4828759.2213201784</v>
      </c>
      <c r="L10" s="124">
        <f t="shared" si="8"/>
        <v>4925334.405746582</v>
      </c>
      <c r="M10" s="124">
        <f t="shared" si="8"/>
        <v>5023841.0938615138</v>
      </c>
      <c r="N10" s="124">
        <f t="shared" si="8"/>
        <v>5124317.9157387437</v>
      </c>
      <c r="O10" s="124">
        <f t="shared" si="8"/>
        <v>5226804.2740535187</v>
      </c>
      <c r="P10" s="124">
        <f t="shared" si="8"/>
        <v>5331340.3595345886</v>
      </c>
      <c r="Q10" s="124">
        <f t="shared" si="8"/>
        <v>5437967.1667252807</v>
      </c>
    </row>
    <row r="11" spans="1:17">
      <c r="A11" s="116">
        <v>4</v>
      </c>
      <c r="B11" s="32" t="s">
        <v>295</v>
      </c>
      <c r="C11" s="254">
        <v>97.45</v>
      </c>
      <c r="D11" s="253">
        <f>C11*44000</f>
        <v>4287800</v>
      </c>
      <c r="E11" s="226" t="s">
        <v>309</v>
      </c>
      <c r="F11" s="204">
        <f>D12+D12*1.25%</f>
        <v>2561342.8138392856</v>
      </c>
      <c r="G11" s="124">
        <f t="shared" ref="G11:Q11" si="9">F11+F11*1.25%</f>
        <v>2593359.5990122766</v>
      </c>
      <c r="H11" s="124">
        <f t="shared" si="9"/>
        <v>2625776.5939999302</v>
      </c>
      <c r="I11" s="124">
        <f t="shared" si="9"/>
        <v>2658598.8014249294</v>
      </c>
      <c r="J11" s="124">
        <f t="shared" si="9"/>
        <v>2691831.2864427408</v>
      </c>
      <c r="K11" s="124">
        <f t="shared" si="9"/>
        <v>2725479.1775232749</v>
      </c>
      <c r="L11" s="124">
        <f t="shared" si="9"/>
        <v>2759547.6672423161</v>
      </c>
      <c r="M11" s="124">
        <f t="shared" si="9"/>
        <v>2794042.0130828451</v>
      </c>
      <c r="N11" s="124">
        <f t="shared" si="9"/>
        <v>2828967.5382463806</v>
      </c>
      <c r="O11" s="124">
        <f t="shared" si="9"/>
        <v>2864329.6324744602</v>
      </c>
      <c r="P11" s="124">
        <f t="shared" si="9"/>
        <v>2900133.7528803907</v>
      </c>
      <c r="Q11" s="124">
        <f t="shared" si="9"/>
        <v>2936385.4247913957</v>
      </c>
    </row>
    <row r="12" spans="1:17">
      <c r="A12" s="95">
        <v>5</v>
      </c>
      <c r="B12" s="32" t="s">
        <v>192</v>
      </c>
      <c r="C12" s="176">
        <v>4829467.9318181816</v>
      </c>
      <c r="D12" s="176">
        <f>C12*44000/84000</f>
        <v>2529721.2976190476</v>
      </c>
      <c r="E12" s="225" t="s">
        <v>296</v>
      </c>
    </row>
    <row r="13" spans="1:17">
      <c r="A13" s="115" t="s">
        <v>182</v>
      </c>
      <c r="B13" s="105" t="s">
        <v>173</v>
      </c>
      <c r="C13" s="106"/>
      <c r="D13" s="178">
        <f>SUM(D14:D16)</f>
        <v>1463599.1653380955</v>
      </c>
      <c r="E13" s="224"/>
      <c r="F13" s="288">
        <f>D12/44000</f>
        <v>57.493665854978353</v>
      </c>
    </row>
    <row r="14" spans="1:17">
      <c r="A14" s="95">
        <v>6</v>
      </c>
      <c r="B14" s="120" t="s">
        <v>198</v>
      </c>
      <c r="C14" s="121">
        <v>2.5000000000000001E-2</v>
      </c>
      <c r="D14" s="176">
        <f>Capex!C20*'Opex Segmental(84 KTPA)'!C14*44000/84000</f>
        <v>468435.71342857153</v>
      </c>
      <c r="E14" s="225"/>
      <c r="F14" s="252">
        <f>D7/44000</f>
        <v>350</v>
      </c>
    </row>
    <row r="15" spans="1:17">
      <c r="A15" s="95">
        <v>7</v>
      </c>
      <c r="B15" s="120" t="s">
        <v>302</v>
      </c>
      <c r="C15" s="121">
        <v>0.45</v>
      </c>
      <c r="D15" s="176">
        <f>(D9+D14)*C15</f>
        <v>814224.64247142873</v>
      </c>
      <c r="E15" s="225"/>
      <c r="F15" s="289">
        <f>D9/44000</f>
        <v>30.476190476190478</v>
      </c>
    </row>
    <row r="16" spans="1:17">
      <c r="A16" s="95">
        <v>8</v>
      </c>
      <c r="B16" s="120" t="s">
        <v>303</v>
      </c>
      <c r="C16" s="121">
        <v>0.1</v>
      </c>
      <c r="D16" s="182">
        <f>(D9+D14)*C16</f>
        <v>180938.80943809528</v>
      </c>
      <c r="E16" s="225"/>
      <c r="F16" s="289">
        <f>D17+D11</f>
        <v>19735408.741269145</v>
      </c>
      <c r="G16" s="220">
        <f>F16/44000</f>
        <v>448.532016847026</v>
      </c>
      <c r="H16" s="208"/>
      <c r="I16" s="208"/>
    </row>
    <row r="17" spans="1:17">
      <c r="A17" s="115" t="s">
        <v>4</v>
      </c>
      <c r="B17" s="122" t="s">
        <v>174</v>
      </c>
      <c r="C17" s="123"/>
      <c r="D17" s="178">
        <f>SUM(D18:D19)</f>
        <v>15447608.741269145</v>
      </c>
      <c r="E17" s="224"/>
      <c r="F17">
        <f>D14/44000</f>
        <v>10.646266214285717</v>
      </c>
      <c r="G17" s="208"/>
      <c r="H17" s="208"/>
      <c r="I17" s="208"/>
    </row>
    <row r="18" spans="1:17">
      <c r="A18" s="95">
        <v>9</v>
      </c>
      <c r="B18" s="120" t="s">
        <v>197</v>
      </c>
      <c r="C18" s="121">
        <v>0.1</v>
      </c>
      <c r="D18" s="176">
        <f>D4*C18</f>
        <v>12873007.284390954</v>
      </c>
      <c r="E18" s="225"/>
      <c r="F18">
        <f>D15/44000</f>
        <v>18.505105510714291</v>
      </c>
      <c r="G18" s="208"/>
      <c r="H18" s="208"/>
      <c r="I18" s="208"/>
    </row>
    <row r="19" spans="1:17">
      <c r="A19" s="95">
        <v>10</v>
      </c>
      <c r="B19" s="120" t="s">
        <v>194</v>
      </c>
      <c r="C19" s="121">
        <v>0.02</v>
      </c>
      <c r="D19" s="176">
        <f>D4*C19</f>
        <v>2574601.4568781909</v>
      </c>
      <c r="E19" s="225"/>
      <c r="F19">
        <f>D16/44000</f>
        <v>4.1122456690476197</v>
      </c>
      <c r="G19" s="208"/>
      <c r="H19" s="208"/>
      <c r="I19" s="208"/>
    </row>
    <row r="20" spans="1:17">
      <c r="A20" s="212"/>
      <c r="B20" s="213" t="s">
        <v>183</v>
      </c>
      <c r="C20" s="214" t="s">
        <v>267</v>
      </c>
      <c r="D20" s="215">
        <f>D17+D4</f>
        <v>144177681.58517867</v>
      </c>
      <c r="E20" s="227"/>
      <c r="G20" s="208"/>
      <c r="H20" s="208"/>
      <c r="I20" s="208"/>
    </row>
    <row r="21" spans="1:17">
      <c r="A21" s="272" t="s">
        <v>304</v>
      </c>
      <c r="B21" s="272"/>
      <c r="C21" s="272"/>
      <c r="D21" s="272"/>
      <c r="E21" s="216">
        <f>D20/44000</f>
        <v>3276.7654905722425</v>
      </c>
      <c r="G21" s="208"/>
      <c r="H21" s="208"/>
      <c r="I21" s="208"/>
    </row>
    <row r="22" spans="1:17" ht="15.75" thickBot="1">
      <c r="A22" s="271" t="s">
        <v>306</v>
      </c>
      <c r="B22" s="271"/>
      <c r="C22" s="271"/>
      <c r="D22" s="271"/>
      <c r="E22" s="271"/>
      <c r="G22" s="208"/>
      <c r="H22" s="208"/>
      <c r="I22" s="208"/>
    </row>
    <row r="23" spans="1:17">
      <c r="A23" s="109"/>
      <c r="B23" s="110" t="s">
        <v>261</v>
      </c>
      <c r="C23" s="111"/>
      <c r="D23" s="202" t="s">
        <v>9</v>
      </c>
      <c r="E23" s="222"/>
    </row>
    <row r="24" spans="1:17">
      <c r="A24" s="113" t="s">
        <v>3</v>
      </c>
      <c r="B24" s="87" t="s">
        <v>32</v>
      </c>
      <c r="C24" s="86" t="s">
        <v>268</v>
      </c>
      <c r="D24" s="201">
        <f>+D25+D28+D30+D33</f>
        <v>52368669.474504322</v>
      </c>
      <c r="E24" s="223"/>
      <c r="F24" s="203">
        <f>F25+F26</f>
        <v>48740300</v>
      </c>
      <c r="G24" s="185">
        <f t="shared" ref="G24:Q24" si="10">G25+G26</f>
        <v>49471404.5</v>
      </c>
      <c r="H24" s="185">
        <f t="shared" si="10"/>
        <v>50213475.567499995</v>
      </c>
      <c r="I24" s="185">
        <f t="shared" si="10"/>
        <v>50966677.701012492</v>
      </c>
      <c r="J24" s="185">
        <f t="shared" si="10"/>
        <v>51731177.866527684</v>
      </c>
      <c r="K24" s="185">
        <f t="shared" si="10"/>
        <v>52507145.534525596</v>
      </c>
      <c r="L24" s="185">
        <f t="shared" si="10"/>
        <v>53294752.717543483</v>
      </c>
      <c r="M24" s="185">
        <f t="shared" si="10"/>
        <v>54094174.008306637</v>
      </c>
      <c r="N24" s="185">
        <f t="shared" si="10"/>
        <v>54905586.618431233</v>
      </c>
      <c r="O24" s="185">
        <f t="shared" si="10"/>
        <v>55729170.417707697</v>
      </c>
      <c r="P24" s="185">
        <f t="shared" si="10"/>
        <v>56565107.973973319</v>
      </c>
      <c r="Q24" s="185">
        <f t="shared" si="10"/>
        <v>57413584.593582913</v>
      </c>
    </row>
    <row r="25" spans="1:17">
      <c r="A25" s="115" t="s">
        <v>10</v>
      </c>
      <c r="B25" s="105" t="s">
        <v>181</v>
      </c>
      <c r="C25" s="106"/>
      <c r="D25" s="175">
        <f>D26+D27</f>
        <v>48020000</v>
      </c>
      <c r="E25" s="224"/>
      <c r="F25" s="204">
        <f>D26+D26*1.5%</f>
        <v>41432300</v>
      </c>
      <c r="G25" s="124">
        <f t="shared" ref="G25:G26" si="11">F25+F25*1.5%</f>
        <v>42053784.5</v>
      </c>
      <c r="H25" s="124">
        <f t="shared" ref="H25:H26" si="12">G25+G25*1.5%</f>
        <v>42684591.267499998</v>
      </c>
      <c r="I25" s="124">
        <f t="shared" ref="I25:I26" si="13">H25+H25*1.5%</f>
        <v>43324860.136512496</v>
      </c>
      <c r="J25" s="124">
        <f t="shared" ref="J25:J26" si="14">I25+I25*1.5%</f>
        <v>43974733.038560182</v>
      </c>
      <c r="K25" s="124">
        <f t="shared" ref="K25:K26" si="15">J25+J25*1.5%</f>
        <v>44634354.034138583</v>
      </c>
      <c r="L25" s="124">
        <f t="shared" ref="L25:L26" si="16">K25+K25*1.5%</f>
        <v>45303869.344650663</v>
      </c>
      <c r="M25" s="124">
        <f t="shared" ref="M25:M26" si="17">L25+L25*1.5%</f>
        <v>45983427.384820424</v>
      </c>
      <c r="N25" s="124">
        <f t="shared" ref="N25:N26" si="18">M25+M25*1.5%</f>
        <v>46673178.795592733</v>
      </c>
      <c r="O25" s="124">
        <f t="shared" ref="O25:O26" si="19">N25+N25*1.5%</f>
        <v>47373276.47752662</v>
      </c>
      <c r="P25" s="124">
        <f t="shared" ref="P25:P26" si="20">O25+O25*1.5%</f>
        <v>48083875.624689519</v>
      </c>
      <c r="Q25" s="124">
        <f t="shared" ref="Q25:Q26" si="21">P25+P25*1.5%</f>
        <v>48805133.759059861</v>
      </c>
    </row>
    <row r="26" spans="1:17">
      <c r="A26" s="95">
        <v>1</v>
      </c>
      <c r="B26" s="32" t="s">
        <v>181</v>
      </c>
      <c r="C26" s="107" t="s">
        <v>37</v>
      </c>
      <c r="D26" s="176">
        <f>20000*2041</f>
        <v>40820000</v>
      </c>
      <c r="E26" s="225" t="s">
        <v>281</v>
      </c>
      <c r="F26" s="204">
        <f>D27+D27*1.5%</f>
        <v>7308000</v>
      </c>
      <c r="G26" s="124">
        <f t="shared" si="11"/>
        <v>7417620</v>
      </c>
      <c r="H26" s="124">
        <f t="shared" si="12"/>
        <v>7528884.2999999998</v>
      </c>
      <c r="I26" s="124">
        <f t="shared" si="13"/>
        <v>7641817.5644999994</v>
      </c>
      <c r="J26" s="124">
        <f t="shared" si="14"/>
        <v>7756444.8279674994</v>
      </c>
      <c r="K26" s="124">
        <f t="shared" si="15"/>
        <v>7872791.500387012</v>
      </c>
      <c r="L26" s="124">
        <f t="shared" si="16"/>
        <v>7990883.3728928175</v>
      </c>
      <c r="M26" s="124">
        <f t="shared" si="17"/>
        <v>8110746.6234862097</v>
      </c>
      <c r="N26" s="124">
        <f t="shared" si="18"/>
        <v>8232407.8228385029</v>
      </c>
      <c r="O26" s="124">
        <f t="shared" si="19"/>
        <v>8355893.9401810803</v>
      </c>
      <c r="P26" s="124">
        <f t="shared" si="20"/>
        <v>8481232.3492837958</v>
      </c>
      <c r="Q26" s="124">
        <f t="shared" si="21"/>
        <v>8608450.834523052</v>
      </c>
    </row>
    <row r="27" spans="1:17">
      <c r="A27" s="95">
        <v>2</v>
      </c>
      <c r="B27" s="32" t="s">
        <v>193</v>
      </c>
      <c r="C27" s="107"/>
      <c r="D27" s="176">
        <f>360*20000</f>
        <v>7200000</v>
      </c>
      <c r="E27" s="225" t="s">
        <v>280</v>
      </c>
      <c r="F27" s="205">
        <f t="shared" ref="F27:Q27" si="22">F28</f>
        <v>658285.7142857142</v>
      </c>
      <c r="G27" s="177">
        <f t="shared" si="22"/>
        <v>710948.57142857136</v>
      </c>
      <c r="H27" s="177">
        <f t="shared" si="22"/>
        <v>767824.45714285702</v>
      </c>
      <c r="I27" s="177">
        <f t="shared" si="22"/>
        <v>829250.41371428559</v>
      </c>
      <c r="J27" s="177">
        <f t="shared" si="22"/>
        <v>895590.44681142841</v>
      </c>
      <c r="K27" s="177">
        <f t="shared" si="22"/>
        <v>967237.68255634268</v>
      </c>
      <c r="L27" s="177">
        <f t="shared" si="22"/>
        <v>1044616.69716085</v>
      </c>
      <c r="M27" s="177">
        <f t="shared" si="22"/>
        <v>1128186.0329337181</v>
      </c>
      <c r="N27" s="177">
        <f t="shared" si="22"/>
        <v>1218440.9155684155</v>
      </c>
      <c r="O27" s="177">
        <f t="shared" si="22"/>
        <v>1315916.1888138887</v>
      </c>
      <c r="P27" s="177">
        <f t="shared" si="22"/>
        <v>1421189.4839189998</v>
      </c>
      <c r="Q27" s="177">
        <f t="shared" si="22"/>
        <v>1534884.6426325198</v>
      </c>
    </row>
    <row r="28" spans="1:17">
      <c r="A28" s="115" t="s">
        <v>11</v>
      </c>
      <c r="B28" s="105" t="s">
        <v>132</v>
      </c>
      <c r="C28" s="106"/>
      <c r="D28" s="177">
        <f>D29</f>
        <v>609523.80952380947</v>
      </c>
      <c r="E28" s="224"/>
      <c r="F28" s="204">
        <f>D29+D29*8%</f>
        <v>658285.7142857142</v>
      </c>
      <c r="G28" s="124">
        <f t="shared" ref="G28" si="23">F28+F28*8%</f>
        <v>710948.57142857136</v>
      </c>
      <c r="H28" s="124">
        <f t="shared" ref="H28" si="24">G28+G28*8%</f>
        <v>767824.45714285702</v>
      </c>
      <c r="I28" s="124">
        <f t="shared" ref="I28" si="25">H28+H28*8%</f>
        <v>829250.41371428559</v>
      </c>
      <c r="J28" s="124">
        <f t="shared" ref="J28" si="26">I28+I28*8%</f>
        <v>895590.44681142841</v>
      </c>
      <c r="K28" s="124">
        <f t="shared" ref="K28" si="27">J28+J28*8%</f>
        <v>967237.68255634268</v>
      </c>
      <c r="L28" s="124">
        <f t="shared" ref="L28" si="28">K28+K28*8%</f>
        <v>1044616.69716085</v>
      </c>
      <c r="M28" s="124">
        <f t="shared" ref="M28" si="29">L28+L28*8%</f>
        <v>1128186.0329337181</v>
      </c>
      <c r="N28" s="124">
        <f t="shared" ref="N28" si="30">M28+M28*8%</f>
        <v>1218440.9155684155</v>
      </c>
      <c r="O28" s="124">
        <f t="shared" ref="O28" si="31">N28+N28*8%</f>
        <v>1315916.1888138887</v>
      </c>
      <c r="P28" s="124">
        <f t="shared" ref="P28" si="32">O28+O28*8%</f>
        <v>1421189.4839189998</v>
      </c>
      <c r="Q28" s="124">
        <f t="shared" ref="Q28" si="33">P28+P28*8%</f>
        <v>1534884.6426325198</v>
      </c>
    </row>
    <row r="29" spans="1:17">
      <c r="A29" s="95">
        <v>3</v>
      </c>
      <c r="B29" s="32" t="s">
        <v>196</v>
      </c>
      <c r="C29" s="107" t="s">
        <v>37</v>
      </c>
      <c r="D29" s="176">
        <f>('Salary and WagesCost Estimation'!D11*10^6)*20000/84000</f>
        <v>609523.80952380947</v>
      </c>
      <c r="E29" s="225"/>
      <c r="F29" s="289">
        <f>D32/20000</f>
        <v>57.493665854978353</v>
      </c>
      <c r="G29">
        <f>D29/20000</f>
        <v>30.476190476190474</v>
      </c>
    </row>
    <row r="30" spans="1:17">
      <c r="A30" s="115" t="s">
        <v>45</v>
      </c>
      <c r="B30" s="105" t="s">
        <v>172</v>
      </c>
      <c r="C30" s="106"/>
      <c r="D30" s="178">
        <f>D31+D32</f>
        <v>3073873.317099567</v>
      </c>
      <c r="E30" s="224"/>
      <c r="F30">
        <f>D27/20000</f>
        <v>360</v>
      </c>
    </row>
    <row r="31" spans="1:17">
      <c r="A31" s="116">
        <v>4</v>
      </c>
      <c r="B31" s="32" t="s">
        <v>195</v>
      </c>
      <c r="C31" s="255">
        <v>96.2</v>
      </c>
      <c r="D31" s="179">
        <f>20000*C31</f>
        <v>1924000</v>
      </c>
      <c r="E31" s="226" t="s">
        <v>310</v>
      </c>
      <c r="F31">
        <f>(D31+D37)/20000</f>
        <v>410.412016847026</v>
      </c>
    </row>
    <row r="32" spans="1:17">
      <c r="A32" s="95">
        <v>5</v>
      </c>
      <c r="B32" s="32" t="s">
        <v>192</v>
      </c>
      <c r="C32" s="176">
        <v>4829467.9318181816</v>
      </c>
      <c r="D32" s="176">
        <f>C32*20/84</f>
        <v>1149873.317099567</v>
      </c>
      <c r="E32" s="225"/>
      <c r="F32" s="203">
        <f>F33+F34</f>
        <v>14768250</v>
      </c>
      <c r="G32" s="185">
        <f t="shared" ref="G32:Q32" si="34">G33+G34</f>
        <v>14989773.75</v>
      </c>
      <c r="H32" s="185">
        <f t="shared" si="34"/>
        <v>15214620.356249999</v>
      </c>
      <c r="I32" s="185">
        <f t="shared" si="34"/>
        <v>15442839.66159375</v>
      </c>
      <c r="J32" s="185">
        <f t="shared" si="34"/>
        <v>15674482.256517654</v>
      </c>
      <c r="K32" s="185">
        <f t="shared" si="34"/>
        <v>15909599.49036542</v>
      </c>
      <c r="L32" s="185">
        <f t="shared" si="34"/>
        <v>16148243.482720902</v>
      </c>
      <c r="M32" s="185">
        <f t="shared" si="34"/>
        <v>16390467.134961715</v>
      </c>
      <c r="N32" s="185">
        <f t="shared" si="34"/>
        <v>16636324.141986141</v>
      </c>
      <c r="O32" s="185">
        <f t="shared" si="34"/>
        <v>16885869.004115932</v>
      </c>
      <c r="P32" s="185">
        <f t="shared" si="34"/>
        <v>17139157.039177671</v>
      </c>
      <c r="Q32" s="185">
        <f t="shared" si="34"/>
        <v>17396244.394765336</v>
      </c>
    </row>
    <row r="33" spans="1:17">
      <c r="A33" s="115" t="s">
        <v>182</v>
      </c>
      <c r="B33" s="105" t="s">
        <v>173</v>
      </c>
      <c r="C33" s="106"/>
      <c r="D33" s="178">
        <f>SUM(D34:D36)</f>
        <v>665272.34788095253</v>
      </c>
      <c r="E33" s="224"/>
      <c r="F33" s="204">
        <f>D46+D46*1.5%</f>
        <v>12910800</v>
      </c>
      <c r="G33" s="124">
        <f t="shared" ref="G33:G34" si="35">F33+F33*1.5%</f>
        <v>13104462</v>
      </c>
      <c r="H33" s="124">
        <f t="shared" ref="H33:H34" si="36">G33+G33*1.5%</f>
        <v>13301028.93</v>
      </c>
      <c r="I33" s="124">
        <f t="shared" ref="I33:I34" si="37">H33+H33*1.5%</f>
        <v>13500544.363949999</v>
      </c>
      <c r="J33" s="124">
        <f t="shared" ref="J33:J34" si="38">I33+I33*1.5%</f>
        <v>13703052.529409248</v>
      </c>
      <c r="K33" s="124">
        <f t="shared" ref="K33:K34" si="39">J33+J33*1.5%</f>
        <v>13908598.317350388</v>
      </c>
      <c r="L33" s="124">
        <f t="shared" ref="L33:L34" si="40">K33+K33*1.5%</f>
        <v>14117227.292110644</v>
      </c>
      <c r="M33" s="124">
        <f t="shared" ref="M33:M34" si="41">L33+L33*1.5%</f>
        <v>14328985.701492304</v>
      </c>
      <c r="N33" s="124">
        <f t="shared" ref="N33:N34" si="42">M33+M33*1.5%</f>
        <v>14543920.487014689</v>
      </c>
      <c r="O33" s="124">
        <f t="shared" ref="O33:O34" si="43">N33+N33*1.5%</f>
        <v>14762079.294319909</v>
      </c>
      <c r="P33" s="124">
        <f t="shared" ref="P33:P34" si="44">O33+O33*1.5%</f>
        <v>14983510.483734708</v>
      </c>
      <c r="Q33" s="124">
        <f t="shared" ref="Q33:Q34" si="45">P33+P33*1.5%</f>
        <v>15208263.140990729</v>
      </c>
    </row>
    <row r="34" spans="1:17">
      <c r="A34" s="95">
        <v>6</v>
      </c>
      <c r="B34" s="120" t="s">
        <v>198</v>
      </c>
      <c r="C34" s="121">
        <v>2.5000000000000001E-2</v>
      </c>
      <c r="D34" s="176">
        <f>Capex!C$20*'Opex Segmental(84 KTPA)'!C34*20000/84000</f>
        <v>212925.32428571433</v>
      </c>
      <c r="E34" s="225"/>
      <c r="F34" s="204">
        <f>D47+D47*1.5%</f>
        <v>1857450</v>
      </c>
      <c r="G34" s="124">
        <f t="shared" si="35"/>
        <v>1885311.75</v>
      </c>
      <c r="H34" s="124">
        <f t="shared" si="36"/>
        <v>1913591.42625</v>
      </c>
      <c r="I34" s="124">
        <f t="shared" si="37"/>
        <v>1942295.29764375</v>
      </c>
      <c r="J34" s="124">
        <f t="shared" si="38"/>
        <v>1971429.7271084061</v>
      </c>
      <c r="K34" s="124">
        <f t="shared" si="39"/>
        <v>2001001.1730150322</v>
      </c>
      <c r="L34" s="124">
        <f t="shared" si="40"/>
        <v>2031016.1906102577</v>
      </c>
      <c r="M34" s="124">
        <f t="shared" si="41"/>
        <v>2061481.4334694115</v>
      </c>
      <c r="N34" s="124">
        <f t="shared" si="42"/>
        <v>2092403.6549714527</v>
      </c>
      <c r="O34" s="124">
        <f t="shared" si="43"/>
        <v>2123789.7097960245</v>
      </c>
      <c r="P34" s="124">
        <f t="shared" si="44"/>
        <v>2155646.5554429647</v>
      </c>
      <c r="Q34" s="124">
        <f t="shared" si="45"/>
        <v>2187981.253774609</v>
      </c>
    </row>
    <row r="35" spans="1:17">
      <c r="A35" s="95">
        <v>7</v>
      </c>
      <c r="B35" s="120" t="s">
        <v>302</v>
      </c>
      <c r="C35" s="121">
        <v>0.45</v>
      </c>
      <c r="D35" s="182">
        <f>(D29+D34)*C35</f>
        <v>370102.11021428573</v>
      </c>
      <c r="E35" s="225"/>
      <c r="F35" s="205">
        <f t="shared" ref="F35:Q35" si="46">F36</f>
        <v>197485.71428571429</v>
      </c>
      <c r="G35" s="177">
        <f t="shared" si="46"/>
        <v>213284.57142857142</v>
      </c>
      <c r="H35" s="177">
        <f t="shared" si="46"/>
        <v>230347.33714285714</v>
      </c>
      <c r="I35" s="177">
        <f t="shared" si="46"/>
        <v>248775.12411428572</v>
      </c>
      <c r="J35" s="177">
        <f t="shared" si="46"/>
        <v>268677.13404342858</v>
      </c>
      <c r="K35" s="177">
        <f t="shared" si="46"/>
        <v>290171.30476690287</v>
      </c>
      <c r="L35" s="177">
        <f t="shared" si="46"/>
        <v>313385.00914825511</v>
      </c>
      <c r="M35" s="177">
        <f t="shared" si="46"/>
        <v>338455.8098801155</v>
      </c>
      <c r="N35" s="177">
        <f t="shared" si="46"/>
        <v>365532.27467052476</v>
      </c>
      <c r="O35" s="177">
        <f t="shared" si="46"/>
        <v>394774.85664416675</v>
      </c>
      <c r="P35" s="177">
        <f t="shared" si="46"/>
        <v>426356.84517570009</v>
      </c>
      <c r="Q35" s="177">
        <f t="shared" si="46"/>
        <v>460465.39278975606</v>
      </c>
    </row>
    <row r="36" spans="1:17">
      <c r="A36" s="95">
        <v>8</v>
      </c>
      <c r="B36" s="120" t="s">
        <v>303</v>
      </c>
      <c r="C36" s="121">
        <v>0.1</v>
      </c>
      <c r="D36" s="182">
        <f>(D29+D34)*C36</f>
        <v>82244.913380952377</v>
      </c>
      <c r="E36" s="225"/>
      <c r="F36" s="204">
        <f>D49+D49*8%</f>
        <v>197485.71428571429</v>
      </c>
      <c r="G36" s="124">
        <f t="shared" ref="G36" si="47">F36+F36*8%</f>
        <v>213284.57142857142</v>
      </c>
      <c r="H36" s="124">
        <f t="shared" ref="H36" si="48">G36+G36*8%</f>
        <v>230347.33714285714</v>
      </c>
      <c r="I36" s="124">
        <f t="shared" ref="I36" si="49">H36+H36*8%</f>
        <v>248775.12411428572</v>
      </c>
      <c r="J36" s="124">
        <f t="shared" ref="J36" si="50">I36+I36*8%</f>
        <v>268677.13404342858</v>
      </c>
      <c r="K36" s="124">
        <f t="shared" ref="K36" si="51">J36+J36*8%</f>
        <v>290171.30476690287</v>
      </c>
      <c r="L36" s="124">
        <f t="shared" ref="L36" si="52">K36+K36*8%</f>
        <v>313385.00914825511</v>
      </c>
      <c r="M36" s="124">
        <f t="shared" ref="M36" si="53">L36+L36*8%</f>
        <v>338455.8098801155</v>
      </c>
      <c r="N36" s="124">
        <f t="shared" ref="N36" si="54">M36+M36*8%</f>
        <v>365532.27467052476</v>
      </c>
      <c r="O36" s="124">
        <f t="shared" ref="O36" si="55">N36+N36*8%</f>
        <v>394774.85664416675</v>
      </c>
      <c r="P36" s="124">
        <f t="shared" ref="P36" si="56">O36+O36*8%</f>
        <v>426356.84517570009</v>
      </c>
      <c r="Q36" s="124">
        <f t="shared" ref="Q36" si="57">P36+P36*8%</f>
        <v>460465.39278975606</v>
      </c>
    </row>
    <row r="37" spans="1:17">
      <c r="A37" s="115" t="s">
        <v>4</v>
      </c>
      <c r="B37" s="122" t="s">
        <v>174</v>
      </c>
      <c r="C37" s="123"/>
      <c r="D37" s="178">
        <f>SUM(D38:D39)</f>
        <v>6284240.3369405195</v>
      </c>
      <c r="E37" s="224"/>
      <c r="F37">
        <f>D34/20000</f>
        <v>10.646266214285717</v>
      </c>
    </row>
    <row r="38" spans="1:17">
      <c r="A38" s="95">
        <v>9</v>
      </c>
      <c r="B38" s="120" t="s">
        <v>197</v>
      </c>
      <c r="C38" s="121">
        <v>0.1</v>
      </c>
      <c r="D38" s="176">
        <f>D24*C38</f>
        <v>5236866.9474504329</v>
      </c>
      <c r="E38" s="225"/>
      <c r="F38">
        <f>D35/20000</f>
        <v>18.505105510714287</v>
      </c>
    </row>
    <row r="39" spans="1:17">
      <c r="A39" s="95">
        <v>10</v>
      </c>
      <c r="B39" s="120" t="s">
        <v>194</v>
      </c>
      <c r="C39" s="121">
        <v>0.02</v>
      </c>
      <c r="D39" s="176">
        <f>D24*C39</f>
        <v>1047373.3894900865</v>
      </c>
      <c r="E39" s="225"/>
      <c r="F39">
        <f>D36/20000</f>
        <v>4.1122456690476188</v>
      </c>
    </row>
    <row r="40" spans="1:17" ht="15.75" thickBot="1">
      <c r="A40" s="117"/>
      <c r="B40" s="118" t="s">
        <v>183</v>
      </c>
      <c r="C40" s="119" t="s">
        <v>267</v>
      </c>
      <c r="D40" s="215">
        <f>D37+D24</f>
        <v>58652909.811444841</v>
      </c>
      <c r="E40" s="228"/>
    </row>
    <row r="41" spans="1:17" s="208" customFormat="1">
      <c r="A41" s="273" t="s">
        <v>304</v>
      </c>
      <c r="B41" s="273"/>
      <c r="C41" s="273"/>
      <c r="D41" s="273"/>
      <c r="E41" s="216">
        <f>D40/20000</f>
        <v>2932.6454905722421</v>
      </c>
    </row>
    <row r="42" spans="1:17">
      <c r="A42" s="271" t="s">
        <v>305</v>
      </c>
      <c r="B42" s="271"/>
      <c r="C42" s="271"/>
      <c r="D42" s="271"/>
      <c r="E42" s="271"/>
      <c r="F42" s="203">
        <f>F43+F44</f>
        <v>46495120</v>
      </c>
      <c r="G42" s="185">
        <f t="shared" ref="G42:Q42" si="58">G43+G44</f>
        <v>47192546.799999997</v>
      </c>
      <c r="H42" s="185">
        <f t="shared" si="58"/>
        <v>47900435.001999997</v>
      </c>
      <c r="I42" s="185">
        <f t="shared" si="58"/>
        <v>48618941.527029999</v>
      </c>
      <c r="J42" s="185">
        <f t="shared" si="58"/>
        <v>49348225.649935447</v>
      </c>
      <c r="K42" s="185">
        <f t="shared" si="58"/>
        <v>50088449.034684472</v>
      </c>
      <c r="L42" s="185">
        <f t="shared" si="58"/>
        <v>50839775.770204738</v>
      </c>
      <c r="M42" s="185">
        <f t="shared" si="58"/>
        <v>51602372.406757809</v>
      </c>
      <c r="N42" s="185">
        <f t="shared" si="58"/>
        <v>52376407.992859177</v>
      </c>
      <c r="O42" s="185">
        <f t="shared" si="58"/>
        <v>53162054.112752065</v>
      </c>
      <c r="P42" s="185">
        <f t="shared" si="58"/>
        <v>53959484.924443349</v>
      </c>
      <c r="Q42" s="185">
        <f t="shared" si="58"/>
        <v>54768877.198310003</v>
      </c>
    </row>
    <row r="43" spans="1:17">
      <c r="A43" s="229"/>
      <c r="B43" s="230" t="s">
        <v>294</v>
      </c>
      <c r="C43" s="231"/>
      <c r="D43" s="200" t="s">
        <v>9</v>
      </c>
      <c r="E43" s="232"/>
      <c r="F43" s="204">
        <f>D66+D66*1.5%</f>
        <v>41209000</v>
      </c>
      <c r="G43" s="124">
        <f t="shared" ref="G43:G44" si="59">F43+F43*1.5%</f>
        <v>41827135</v>
      </c>
      <c r="H43" s="124">
        <f t="shared" ref="H43:H44" si="60">G43+G43*1.5%</f>
        <v>42454542.024999999</v>
      </c>
      <c r="I43" s="124">
        <f t="shared" ref="I43:I44" si="61">H43+H43*1.5%</f>
        <v>43091360.155374996</v>
      </c>
      <c r="J43" s="124">
        <f t="shared" ref="J43:J44" si="62">I43+I43*1.5%</f>
        <v>43737730.557705618</v>
      </c>
      <c r="K43" s="124">
        <f t="shared" ref="K43:K44" si="63">J43+J43*1.5%</f>
        <v>44393796.5160712</v>
      </c>
      <c r="L43" s="124">
        <f t="shared" ref="L43:L44" si="64">K43+K43*1.5%</f>
        <v>45059703.463812269</v>
      </c>
      <c r="M43" s="124">
        <f t="shared" ref="M43:M44" si="65">L43+L43*1.5%</f>
        <v>45735599.015769452</v>
      </c>
      <c r="N43" s="124">
        <f t="shared" ref="N43:N44" si="66">M43+M43*1.5%</f>
        <v>46421633.001005992</v>
      </c>
      <c r="O43" s="124">
        <f t="shared" ref="O43:O44" si="67">N43+N43*1.5%</f>
        <v>47117957.496021084</v>
      </c>
      <c r="P43" s="124">
        <f t="shared" ref="P43:P44" si="68">O43+O43*1.5%</f>
        <v>47824726.858461402</v>
      </c>
      <c r="Q43" s="124">
        <f t="shared" ref="Q43:Q44" si="69">P43+P43*1.5%</f>
        <v>48542097.761338323</v>
      </c>
    </row>
    <row r="44" spans="1:17">
      <c r="A44" s="113" t="s">
        <v>3</v>
      </c>
      <c r="B44" s="87" t="s">
        <v>32</v>
      </c>
      <c r="C44" s="86"/>
      <c r="D44" s="201">
        <f>+D45+D48+D50+D53</f>
        <v>15861200.842351299</v>
      </c>
      <c r="E44" s="223"/>
      <c r="F44" s="204">
        <f>D67+D67*1.5%</f>
        <v>5286120</v>
      </c>
      <c r="G44" s="124">
        <f t="shared" si="59"/>
        <v>5365411.8</v>
      </c>
      <c r="H44" s="124">
        <f t="shared" si="60"/>
        <v>5445892.977</v>
      </c>
      <c r="I44" s="124">
        <f t="shared" si="61"/>
        <v>5527581.3716550004</v>
      </c>
      <c r="J44" s="124">
        <f t="shared" si="62"/>
        <v>5610495.0922298254</v>
      </c>
      <c r="K44" s="124">
        <f t="shared" si="63"/>
        <v>5694652.5186132733</v>
      </c>
      <c r="L44" s="124">
        <f t="shared" si="64"/>
        <v>5780072.3063924722</v>
      </c>
      <c r="M44" s="124">
        <f t="shared" si="65"/>
        <v>5866773.3909883592</v>
      </c>
      <c r="N44" s="124">
        <f t="shared" si="66"/>
        <v>5954774.991853185</v>
      </c>
      <c r="O44" s="124">
        <f t="shared" si="67"/>
        <v>6044096.6167309824</v>
      </c>
      <c r="P44" s="124">
        <f t="shared" si="68"/>
        <v>6134758.0659819469</v>
      </c>
      <c r="Q44" s="124">
        <f t="shared" si="69"/>
        <v>6226779.4369716765</v>
      </c>
    </row>
    <row r="45" spans="1:17">
      <c r="A45" s="115" t="s">
        <v>10</v>
      </c>
      <c r="B45" s="105" t="s">
        <v>181</v>
      </c>
      <c r="C45" s="106"/>
      <c r="D45" s="175">
        <f>D46+D47</f>
        <v>14550000</v>
      </c>
      <c r="E45" s="224"/>
      <c r="F45" s="205">
        <f t="shared" ref="F45:Q45" si="70">F46</f>
        <v>460800</v>
      </c>
      <c r="G45" s="177">
        <f t="shared" si="70"/>
        <v>497664</v>
      </c>
      <c r="H45" s="177">
        <f t="shared" si="70"/>
        <v>537477.12</v>
      </c>
      <c r="I45" s="177">
        <f t="shared" si="70"/>
        <v>580475.28960000002</v>
      </c>
      <c r="J45" s="177">
        <f t="shared" si="70"/>
        <v>626913.31276800006</v>
      </c>
      <c r="K45" s="177">
        <f t="shared" si="70"/>
        <v>677066.3777894401</v>
      </c>
      <c r="L45" s="177">
        <f t="shared" si="70"/>
        <v>731231.68801259529</v>
      </c>
      <c r="M45" s="177">
        <f t="shared" si="70"/>
        <v>789730.22305360297</v>
      </c>
      <c r="N45" s="177">
        <f t="shared" si="70"/>
        <v>852908.64089789125</v>
      </c>
      <c r="O45" s="177">
        <f t="shared" si="70"/>
        <v>921141.33216972253</v>
      </c>
      <c r="P45" s="177">
        <f t="shared" si="70"/>
        <v>994832.63874330034</v>
      </c>
      <c r="Q45" s="177">
        <f t="shared" si="70"/>
        <v>1074419.2498427643</v>
      </c>
    </row>
    <row r="46" spans="1:17">
      <c r="A46" s="31">
        <v>1</v>
      </c>
      <c r="B46" s="32" t="s">
        <v>181</v>
      </c>
      <c r="C46" s="107"/>
      <c r="D46" s="176">
        <f>(2120*6000)</f>
        <v>12720000</v>
      </c>
      <c r="E46" s="225"/>
      <c r="F46" s="204">
        <f>D69+D69*8%</f>
        <v>460800</v>
      </c>
      <c r="G46" s="124">
        <f t="shared" ref="G46" si="71">F46+F46*8%</f>
        <v>497664</v>
      </c>
      <c r="H46" s="124">
        <f t="shared" ref="H46" si="72">G46+G46*8%</f>
        <v>537477.12</v>
      </c>
      <c r="I46" s="124">
        <f t="shared" ref="I46" si="73">H46+H46*8%</f>
        <v>580475.28960000002</v>
      </c>
      <c r="J46" s="124">
        <f t="shared" ref="J46" si="74">I46+I46*8%</f>
        <v>626913.31276800006</v>
      </c>
      <c r="K46" s="124">
        <f t="shared" ref="K46" si="75">J46+J46*8%</f>
        <v>677066.3777894401</v>
      </c>
      <c r="L46" s="124">
        <f t="shared" ref="L46" si="76">K46+K46*8%</f>
        <v>731231.68801259529</v>
      </c>
      <c r="M46" s="124">
        <f t="shared" ref="M46" si="77">L46+L46*8%</f>
        <v>789730.22305360297</v>
      </c>
      <c r="N46" s="124">
        <f t="shared" ref="N46" si="78">M46+M46*8%</f>
        <v>852908.64089789125</v>
      </c>
      <c r="O46" s="124">
        <f t="shared" ref="O46" si="79">N46+N46*8%</f>
        <v>921141.33216972253</v>
      </c>
      <c r="P46" s="124">
        <f t="shared" ref="P46" si="80">O46+O46*8%</f>
        <v>994832.63874330034</v>
      </c>
      <c r="Q46" s="124">
        <f t="shared" ref="Q46" si="81">P46+P46*8%</f>
        <v>1074419.2498427643</v>
      </c>
    </row>
    <row r="47" spans="1:17">
      <c r="A47" s="31">
        <v>2</v>
      </c>
      <c r="B47" s="32" t="s">
        <v>193</v>
      </c>
      <c r="C47" s="107"/>
      <c r="D47" s="176">
        <f>(305*6000)</f>
        <v>1830000</v>
      </c>
      <c r="E47" s="225"/>
    </row>
    <row r="48" spans="1:17">
      <c r="A48" s="183" t="s">
        <v>11</v>
      </c>
      <c r="B48" s="105" t="s">
        <v>132</v>
      </c>
      <c r="C48" s="106"/>
      <c r="D48" s="178">
        <f>D49</f>
        <v>182857.14285714287</v>
      </c>
      <c r="E48" s="224"/>
    </row>
    <row r="49" spans="1:7">
      <c r="A49" s="31">
        <v>3</v>
      </c>
      <c r="B49" s="32" t="s">
        <v>196</v>
      </c>
      <c r="C49" s="107"/>
      <c r="D49" s="176">
        <f>('Salary and WagesCost Estimation'!D11*10^6)*6000/84000</f>
        <v>182857.14285714287</v>
      </c>
      <c r="E49" s="225"/>
      <c r="F49">
        <f>D52/6000</f>
        <v>57.493665854978353</v>
      </c>
    </row>
    <row r="50" spans="1:7">
      <c r="A50" s="115" t="s">
        <v>45</v>
      </c>
      <c r="B50" s="105" t="s">
        <v>172</v>
      </c>
      <c r="C50" s="106"/>
      <c r="D50" s="178">
        <f>D51+D52</f>
        <v>928761.99512987013</v>
      </c>
      <c r="E50" s="224"/>
      <c r="F50">
        <f>D47/6000</f>
        <v>305</v>
      </c>
    </row>
    <row r="51" spans="1:7">
      <c r="A51" s="116">
        <v>4</v>
      </c>
      <c r="B51" s="32" t="s">
        <v>195</v>
      </c>
      <c r="C51" s="255">
        <v>97.3</v>
      </c>
      <c r="D51" s="179">
        <f>6000*C51</f>
        <v>583800</v>
      </c>
      <c r="E51" s="226" t="s">
        <v>310</v>
      </c>
      <c r="F51">
        <f>D48/6000</f>
        <v>30.476190476190478</v>
      </c>
    </row>
    <row r="52" spans="1:7">
      <c r="A52" s="95">
        <v>5</v>
      </c>
      <c r="B52" s="32" t="s">
        <v>192</v>
      </c>
      <c r="C52" s="176">
        <v>4829467.9318181816</v>
      </c>
      <c r="D52" s="176">
        <f>C52*6/84</f>
        <v>344961.99512987013</v>
      </c>
      <c r="E52" s="225"/>
      <c r="F52">
        <f>(D57+D51)/6000</f>
        <v>414.52401684702602</v>
      </c>
      <c r="G52" s="220"/>
    </row>
    <row r="53" spans="1:7">
      <c r="A53" s="115" t="s">
        <v>182</v>
      </c>
      <c r="B53" s="105" t="s">
        <v>173</v>
      </c>
      <c r="C53" s="106"/>
      <c r="D53" s="178">
        <f>SUM(D54:D56)</f>
        <v>199581.70436428575</v>
      </c>
      <c r="E53" s="224"/>
    </row>
    <row r="54" spans="1:7">
      <c r="A54" s="95">
        <v>6</v>
      </c>
      <c r="B54" s="120" t="s">
        <v>198</v>
      </c>
      <c r="C54" s="121">
        <v>2.5000000000000001E-2</v>
      </c>
      <c r="D54" s="176">
        <f>Capex!C$20*'Opex Segmental(84 KTPA)'!C54*6000/84000</f>
        <v>63877.597285714299</v>
      </c>
      <c r="E54" s="225"/>
      <c r="F54">
        <f>D54/6000</f>
        <v>10.646266214285717</v>
      </c>
    </row>
    <row r="55" spans="1:7">
      <c r="A55" s="95">
        <v>7</v>
      </c>
      <c r="B55" s="120" t="s">
        <v>302</v>
      </c>
      <c r="C55" s="121">
        <v>0.45</v>
      </c>
      <c r="D55" s="182">
        <f>(D49+D54)*C55</f>
        <v>111030.63306428572</v>
      </c>
      <c r="E55" s="225"/>
    </row>
    <row r="56" spans="1:7">
      <c r="A56" s="95">
        <v>8</v>
      </c>
      <c r="B56" s="120" t="s">
        <v>303</v>
      </c>
      <c r="C56" s="121">
        <v>0.1</v>
      </c>
      <c r="D56" s="182">
        <f>(D49+D54)*C56</f>
        <v>24673.474014285719</v>
      </c>
      <c r="E56" s="225"/>
    </row>
    <row r="57" spans="1:7">
      <c r="A57" s="115" t="s">
        <v>4</v>
      </c>
      <c r="B57" s="122" t="s">
        <v>174</v>
      </c>
      <c r="C57" s="123"/>
      <c r="D57" s="178">
        <f>SUM(D58:D59)</f>
        <v>1903344.1010821559</v>
      </c>
      <c r="E57" s="224"/>
    </row>
    <row r="58" spans="1:7">
      <c r="A58" s="95">
        <v>9</v>
      </c>
      <c r="B58" s="120" t="s">
        <v>197</v>
      </c>
      <c r="C58" s="121">
        <v>0.1</v>
      </c>
      <c r="D58" s="176">
        <f>D44*C58</f>
        <v>1586120.0842351299</v>
      </c>
      <c r="E58" s="225"/>
    </row>
    <row r="59" spans="1:7">
      <c r="A59" s="95">
        <v>10</v>
      </c>
      <c r="B59" s="120" t="s">
        <v>194</v>
      </c>
      <c r="C59" s="121">
        <v>0.02</v>
      </c>
      <c r="D59" s="176">
        <f>D44*C59</f>
        <v>317224.01684702601</v>
      </c>
      <c r="E59" s="225"/>
    </row>
    <row r="60" spans="1:7" ht="15.75" thickBot="1">
      <c r="A60" s="117"/>
      <c r="B60" s="218" t="s">
        <v>183</v>
      </c>
      <c r="C60" s="219" t="s">
        <v>267</v>
      </c>
      <c r="D60" s="207">
        <f>D57+D44</f>
        <v>17764544.943433456</v>
      </c>
      <c r="E60" s="207">
        <f>D60/6000</f>
        <v>2960.7574905722427</v>
      </c>
    </row>
    <row r="61" spans="1:7">
      <c r="E61" s="233"/>
    </row>
    <row r="62" spans="1:7" ht="15.75" thickBot="1">
      <c r="A62" s="271" t="s">
        <v>308</v>
      </c>
      <c r="B62" s="271"/>
      <c r="C62" s="271"/>
      <c r="D62" s="271"/>
      <c r="E62" s="271"/>
    </row>
    <row r="63" spans="1:7">
      <c r="A63" s="109"/>
      <c r="B63" s="110" t="s">
        <v>264</v>
      </c>
      <c r="C63" s="111"/>
      <c r="D63" s="202" t="s">
        <v>9</v>
      </c>
      <c r="E63" s="222"/>
    </row>
    <row r="64" spans="1:7">
      <c r="A64" s="113" t="s">
        <v>3</v>
      </c>
      <c r="B64" s="87" t="s">
        <v>32</v>
      </c>
      <c r="C64" s="86"/>
      <c r="D64" s="201">
        <f>+D65+D68+D70+D73</f>
        <v>48101968.632153027</v>
      </c>
      <c r="E64" s="223"/>
    </row>
    <row r="65" spans="1:5">
      <c r="A65" s="183" t="s">
        <v>10</v>
      </c>
      <c r="B65" s="105" t="s">
        <v>181</v>
      </c>
      <c r="C65" s="106"/>
      <c r="D65" s="184">
        <f>D66+D67</f>
        <v>45808000</v>
      </c>
      <c r="E65" s="224"/>
    </row>
    <row r="66" spans="1:5">
      <c r="A66" s="31">
        <v>1</v>
      </c>
      <c r="B66" s="32" t="s">
        <v>181</v>
      </c>
      <c r="C66" s="107" t="s">
        <v>37</v>
      </c>
      <c r="D66" s="182">
        <f>(2900*14000)</f>
        <v>40600000</v>
      </c>
      <c r="E66" s="225"/>
    </row>
    <row r="67" spans="1:5">
      <c r="A67" s="31">
        <v>2</v>
      </c>
      <c r="B67" s="32" t="s">
        <v>193</v>
      </c>
      <c r="C67" s="107"/>
      <c r="D67" s="182">
        <f>(372*14000)</f>
        <v>5208000</v>
      </c>
      <c r="E67" s="225"/>
    </row>
    <row r="68" spans="1:5" ht="15.75" customHeight="1">
      <c r="A68" s="183" t="s">
        <v>11</v>
      </c>
      <c r="B68" s="105" t="s">
        <v>132</v>
      </c>
      <c r="C68" s="106"/>
      <c r="D68" s="184">
        <f>D69</f>
        <v>426666.66666666669</v>
      </c>
      <c r="E68" s="224"/>
    </row>
    <row r="69" spans="1:5">
      <c r="A69" s="31">
        <v>3</v>
      </c>
      <c r="B69" s="32" t="s">
        <v>196</v>
      </c>
      <c r="C69" s="107" t="s">
        <v>37</v>
      </c>
      <c r="D69" s="182">
        <f>('Salary and WagesCost Estimation'!D11*10^6)*14000/84000</f>
        <v>426666.66666666669</v>
      </c>
      <c r="E69" s="225"/>
    </row>
    <row r="70" spans="1:5">
      <c r="A70" s="183" t="s">
        <v>45</v>
      </c>
      <c r="B70" s="105" t="s">
        <v>172</v>
      </c>
      <c r="C70" s="106"/>
      <c r="D70" s="184">
        <f>D71+D72</f>
        <v>1401611.3219696968</v>
      </c>
      <c r="E70" s="224"/>
    </row>
    <row r="71" spans="1:5">
      <c r="A71" s="32">
        <v>4</v>
      </c>
      <c r="B71" s="32" t="s">
        <v>195</v>
      </c>
      <c r="C71" s="182">
        <v>99.45</v>
      </c>
      <c r="D71" s="179">
        <f>6000*C71</f>
        <v>596700</v>
      </c>
      <c r="E71" s="226"/>
    </row>
    <row r="72" spans="1:5">
      <c r="A72" s="31">
        <v>5</v>
      </c>
      <c r="B72" s="32" t="s">
        <v>192</v>
      </c>
      <c r="C72" s="182">
        <v>4829467.9318181816</v>
      </c>
      <c r="D72" s="182">
        <f>C72*14000/84000</f>
        <v>804911.3219696969</v>
      </c>
      <c r="E72" s="225"/>
    </row>
    <row r="73" spans="1:5">
      <c r="A73" s="183" t="s">
        <v>182</v>
      </c>
      <c r="B73" s="105" t="s">
        <v>173</v>
      </c>
      <c r="C73" s="106"/>
      <c r="D73" s="184">
        <f>SUM(D74:D76)</f>
        <v>465690.64351666666</v>
      </c>
      <c r="E73" s="224"/>
    </row>
    <row r="74" spans="1:5" ht="15.75" customHeight="1">
      <c r="A74" s="31">
        <v>6</v>
      </c>
      <c r="B74" s="120" t="s">
        <v>198</v>
      </c>
      <c r="C74" s="121">
        <v>2.5000000000000001E-2</v>
      </c>
      <c r="D74" s="182">
        <f>Capex!C$20*'Opex Segmental(84 KTPA)'!C74*14000/84000</f>
        <v>149047.72700000001</v>
      </c>
      <c r="E74" s="225"/>
    </row>
    <row r="75" spans="1:5" ht="15.75" customHeight="1">
      <c r="A75" s="31">
        <v>7</v>
      </c>
      <c r="B75" s="120" t="s">
        <v>302</v>
      </c>
      <c r="C75" s="121">
        <v>0.45</v>
      </c>
      <c r="D75" s="176">
        <f>(D69+D74)*C75</f>
        <v>259071.47715000002</v>
      </c>
      <c r="E75" s="225"/>
    </row>
    <row r="76" spans="1:5">
      <c r="A76" s="31">
        <v>8</v>
      </c>
      <c r="B76" s="120" t="s">
        <v>303</v>
      </c>
      <c r="C76" s="121">
        <v>0.1</v>
      </c>
      <c r="D76" s="182">
        <f>(D69+D74)*C76</f>
        <v>57571.439366666673</v>
      </c>
      <c r="E76" s="225"/>
    </row>
    <row r="77" spans="1:5">
      <c r="A77" s="183" t="s">
        <v>4</v>
      </c>
      <c r="B77" s="122" t="s">
        <v>174</v>
      </c>
      <c r="C77" s="123"/>
      <c r="D77" s="184">
        <f>SUM(D78:D79)</f>
        <v>4872000</v>
      </c>
      <c r="E77" s="224"/>
    </row>
    <row r="78" spans="1:5">
      <c r="A78" s="31">
        <v>9</v>
      </c>
      <c r="B78" s="120" t="s">
        <v>197</v>
      </c>
      <c r="C78" s="121">
        <v>0.1</v>
      </c>
      <c r="D78" s="182">
        <f>D66*C78</f>
        <v>4060000</v>
      </c>
      <c r="E78" s="225"/>
    </row>
    <row r="79" spans="1:5">
      <c r="A79" s="31">
        <v>10</v>
      </c>
      <c r="B79" s="120" t="s">
        <v>194</v>
      </c>
      <c r="C79" s="121">
        <v>0.02</v>
      </c>
      <c r="D79" s="182">
        <f>D66*C79</f>
        <v>812000</v>
      </c>
      <c r="E79" s="225"/>
    </row>
    <row r="80" spans="1:5">
      <c r="A80" s="217"/>
      <c r="B80" s="218" t="s">
        <v>183</v>
      </c>
      <c r="C80" s="219" t="s">
        <v>267</v>
      </c>
      <c r="D80" s="207">
        <f>D77+D64</f>
        <v>52973968.632153027</v>
      </c>
      <c r="E80" s="207">
        <f>D80/14000</f>
        <v>3783.8549022966449</v>
      </c>
    </row>
    <row r="81" spans="2:2">
      <c r="B81" s="157" t="s">
        <v>236</v>
      </c>
    </row>
    <row r="82" spans="2:2">
      <c r="B82" s="158" t="s">
        <v>237</v>
      </c>
    </row>
    <row r="83" spans="2:2">
      <c r="B83" s="158" t="s">
        <v>238</v>
      </c>
    </row>
    <row r="84" spans="2:2" ht="25.5">
      <c r="B84" s="158" t="s">
        <v>239</v>
      </c>
    </row>
    <row r="85" spans="2:2" ht="38.25">
      <c r="B85" s="158" t="s">
        <v>240</v>
      </c>
    </row>
    <row r="86" spans="2:2">
      <c r="B86" s="158" t="s">
        <v>241</v>
      </c>
    </row>
    <row r="87" spans="2:2" ht="38.25">
      <c r="B87" s="158" t="s">
        <v>242</v>
      </c>
    </row>
  </sheetData>
  <mergeCells count="6">
    <mergeCell ref="A2:E2"/>
    <mergeCell ref="A62:E62"/>
    <mergeCell ref="A21:D21"/>
    <mergeCell ref="A41:D41"/>
    <mergeCell ref="A42:E42"/>
    <mergeCell ref="A22:E22"/>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3EAE11-1321-45BD-9058-32E40861681D}">
  <dimension ref="A1:I24"/>
  <sheetViews>
    <sheetView zoomScale="74" zoomScaleNormal="74" workbookViewId="0">
      <selection activeCell="D11" sqref="D11"/>
    </sheetView>
  </sheetViews>
  <sheetFormatPr defaultRowHeight="15"/>
  <cols>
    <col min="1" max="1" width="11.42578125" customWidth="1"/>
    <col min="2" max="2" width="29.140625" customWidth="1"/>
    <col min="3" max="3" width="16" customWidth="1"/>
    <col min="4" max="4" width="24.42578125" customWidth="1"/>
    <col min="5" max="5" width="12" bestFit="1" customWidth="1"/>
    <col min="6" max="6" width="15" bestFit="1" customWidth="1"/>
    <col min="8" max="8" width="11.140625" bestFit="1" customWidth="1"/>
    <col min="9" max="9" width="13.28515625" bestFit="1" customWidth="1"/>
    <col min="11" max="11" width="12.85546875" bestFit="1" customWidth="1"/>
    <col min="16" max="16" width="12.85546875" bestFit="1" customWidth="1"/>
  </cols>
  <sheetData>
    <row r="1" spans="1:9" ht="15.75" thickBot="1">
      <c r="A1" s="3"/>
      <c r="B1" s="5" t="s">
        <v>12</v>
      </c>
      <c r="C1" s="3"/>
      <c r="D1" s="10" t="s">
        <v>9</v>
      </c>
      <c r="E1" t="s">
        <v>140</v>
      </c>
      <c r="F1" t="s">
        <v>134</v>
      </c>
    </row>
    <row r="2" spans="1:9">
      <c r="A2" s="6" t="s">
        <v>3</v>
      </c>
      <c r="B2" s="7" t="s">
        <v>32</v>
      </c>
      <c r="C2" s="6" t="s">
        <v>33</v>
      </c>
      <c r="D2" s="11">
        <f>D3+D13+D15</f>
        <v>194706132.31518477</v>
      </c>
    </row>
    <row r="3" spans="1:9">
      <c r="A3" s="36" t="s">
        <v>10</v>
      </c>
      <c r="B3" s="37" t="s">
        <v>34</v>
      </c>
      <c r="C3" s="36" t="s">
        <v>35</v>
      </c>
      <c r="D3" s="38">
        <f>SUM(D4:D12)</f>
        <v>193066871.22558478</v>
      </c>
    </row>
    <row r="4" spans="1:9">
      <c r="A4" s="31">
        <v>1</v>
      </c>
      <c r="B4" s="32" t="s">
        <v>36</v>
      </c>
      <c r="C4" s="31" t="s">
        <v>37</v>
      </c>
      <c r="D4" s="39">
        <f>(1950*84000)</f>
        <v>163800000</v>
      </c>
      <c r="E4" t="s">
        <v>133</v>
      </c>
      <c r="F4">
        <f>D4*73.3</f>
        <v>12006540000</v>
      </c>
    </row>
    <row r="5" spans="1:9">
      <c r="A5" s="31">
        <v>2</v>
      </c>
      <c r="B5" s="32" t="s">
        <v>38</v>
      </c>
      <c r="C5" s="31" t="s">
        <v>37</v>
      </c>
      <c r="D5" s="39">
        <f>D4*0.012</f>
        <v>1965600</v>
      </c>
      <c r="E5" t="s">
        <v>132</v>
      </c>
      <c r="F5">
        <f>D5*73.3</f>
        <v>144078480</v>
      </c>
    </row>
    <row r="6" spans="1:9" ht="24">
      <c r="A6" s="31">
        <v>3</v>
      </c>
      <c r="B6" s="32" t="s">
        <v>39</v>
      </c>
      <c r="C6" s="40">
        <v>0.17499999999999999</v>
      </c>
      <c r="D6" s="39">
        <f>D5*C6</f>
        <v>343980</v>
      </c>
      <c r="E6" t="s">
        <v>132</v>
      </c>
      <c r="F6">
        <f t="shared" ref="F6:F20" si="0">D6*73.3</f>
        <v>25213734</v>
      </c>
    </row>
    <row r="7" spans="1:9">
      <c r="A7" s="31">
        <v>4</v>
      </c>
      <c r="B7" s="32" t="s">
        <v>40</v>
      </c>
      <c r="C7" s="31" t="s">
        <v>37</v>
      </c>
      <c r="D7" s="39">
        <v>6027830.8321964536</v>
      </c>
      <c r="E7" t="s">
        <v>123</v>
      </c>
      <c r="F7">
        <f t="shared" si="0"/>
        <v>441840000.00000006</v>
      </c>
    </row>
    <row r="8" spans="1:9" ht="24">
      <c r="A8" s="31">
        <v>5</v>
      </c>
      <c r="B8" s="32" t="s">
        <v>121</v>
      </c>
      <c r="C8" s="40">
        <v>0.05</v>
      </c>
      <c r="D8" s="39">
        <f>Capex!C20*Opex!C8</f>
        <v>1788572.7240000004</v>
      </c>
      <c r="E8" t="s">
        <v>124</v>
      </c>
      <c r="F8">
        <f t="shared" si="0"/>
        <v>131102380.66920002</v>
      </c>
      <c r="G8">
        <f>Capex!C20*5%</f>
        <v>1788572.7240000004</v>
      </c>
    </row>
    <row r="9" spans="1:9" ht="24">
      <c r="A9" s="31">
        <v>6</v>
      </c>
      <c r="B9" s="32" t="s">
        <v>41</v>
      </c>
      <c r="C9" s="40">
        <v>0.15</v>
      </c>
      <c r="D9" s="39">
        <f>D8*C9</f>
        <v>268285.90860000002</v>
      </c>
      <c r="E9" t="s">
        <v>124</v>
      </c>
      <c r="F9">
        <f t="shared" si="0"/>
        <v>19665357.10038</v>
      </c>
    </row>
    <row r="10" spans="1:9" ht="24">
      <c r="A10" s="31">
        <v>7</v>
      </c>
      <c r="B10" s="32" t="s">
        <v>42</v>
      </c>
      <c r="C10" s="40">
        <v>0.15</v>
      </c>
      <c r="D10" s="39">
        <f>C10*D5</f>
        <v>294840</v>
      </c>
      <c r="E10" t="s">
        <v>124</v>
      </c>
      <c r="F10">
        <f t="shared" si="0"/>
        <v>21611772</v>
      </c>
    </row>
    <row r="11" spans="1:9" ht="24">
      <c r="A11" s="31">
        <v>8</v>
      </c>
      <c r="B11" s="32" t="s">
        <v>138</v>
      </c>
      <c r="C11" s="40">
        <v>0.05</v>
      </c>
      <c r="D11" s="39">
        <v>11598197.382196454</v>
      </c>
      <c r="E11" t="s">
        <v>123</v>
      </c>
      <c r="F11">
        <f>D11*73.3</f>
        <v>850147868.11500013</v>
      </c>
    </row>
    <row r="12" spans="1:9" ht="24">
      <c r="A12" s="31">
        <v>9</v>
      </c>
      <c r="B12" s="32" t="s">
        <v>43</v>
      </c>
      <c r="C12" s="40">
        <v>0.04</v>
      </c>
      <c r="D12" s="39">
        <f>C12*(D4+D5+D6+D7+D8+D9+D10)</f>
        <v>6979564.3785918579</v>
      </c>
      <c r="E12" t="s">
        <v>124</v>
      </c>
      <c r="F12">
        <f t="shared" si="0"/>
        <v>511602068.95078313</v>
      </c>
    </row>
    <row r="13" spans="1:9" ht="24">
      <c r="A13" s="36" t="s">
        <v>11</v>
      </c>
      <c r="B13" s="37" t="s">
        <v>44</v>
      </c>
      <c r="C13" s="36">
        <v>9</v>
      </c>
      <c r="D13" s="38">
        <f>SUM(D14:D14)</f>
        <v>0</v>
      </c>
      <c r="F13">
        <f t="shared" si="0"/>
        <v>0</v>
      </c>
    </row>
    <row r="14" spans="1:9">
      <c r="A14" s="31">
        <v>10</v>
      </c>
      <c r="B14" s="32"/>
      <c r="C14" s="40"/>
      <c r="D14" s="39"/>
      <c r="E14" t="s">
        <v>7</v>
      </c>
      <c r="F14">
        <f>D14*73.3</f>
        <v>0</v>
      </c>
    </row>
    <row r="15" spans="1:9" ht="26.25">
      <c r="A15" s="36" t="s">
        <v>45</v>
      </c>
      <c r="B15" s="37" t="s">
        <v>46</v>
      </c>
      <c r="C15" s="41">
        <v>0.4</v>
      </c>
      <c r="D15" s="38">
        <f>C15*(D5+D6+D8)</f>
        <v>1639261.0896000003</v>
      </c>
      <c r="E15" t="s">
        <v>124</v>
      </c>
      <c r="F15">
        <f t="shared" si="0"/>
        <v>120157837.86768001</v>
      </c>
      <c r="I15" s="4"/>
    </row>
    <row r="16" spans="1:9">
      <c r="A16" s="42" t="s">
        <v>4</v>
      </c>
      <c r="B16" s="43" t="s">
        <v>47</v>
      </c>
      <c r="C16" s="42" t="s">
        <v>48</v>
      </c>
      <c r="D16" s="44">
        <f>SUM(D17:D19)</f>
        <v>35661826.725333259</v>
      </c>
      <c r="F16">
        <f t="shared" si="0"/>
        <v>2614011898.9669275</v>
      </c>
    </row>
    <row r="17" spans="1:8" ht="28.5">
      <c r="A17" s="31">
        <v>11</v>
      </c>
      <c r="B17" s="32" t="s">
        <v>49</v>
      </c>
      <c r="C17" s="40">
        <v>0.15</v>
      </c>
      <c r="D17" s="39">
        <f>C17*(D5+D6+D8)</f>
        <v>614722.90860000008</v>
      </c>
      <c r="E17" t="s">
        <v>124</v>
      </c>
      <c r="F17">
        <f t="shared" si="0"/>
        <v>45059189.200380005</v>
      </c>
    </row>
    <row r="18" spans="1:8" ht="24">
      <c r="A18" s="31">
        <v>12</v>
      </c>
      <c r="B18" s="32" t="s">
        <v>50</v>
      </c>
      <c r="C18" s="40">
        <v>0.11</v>
      </c>
      <c r="D18" s="39">
        <f>C18*D2</f>
        <v>21417674.554670326</v>
      </c>
      <c r="E18" t="s">
        <v>123</v>
      </c>
      <c r="F18">
        <f t="shared" si="0"/>
        <v>1569915544.8573349</v>
      </c>
    </row>
    <row r="19" spans="1:8" ht="24">
      <c r="A19" s="31">
        <v>13</v>
      </c>
      <c r="B19" s="32" t="s">
        <v>119</v>
      </c>
      <c r="C19" s="40">
        <v>7.0000000000000007E-2</v>
      </c>
      <c r="D19" s="39">
        <f>C19*D2</f>
        <v>13629429.262062935</v>
      </c>
      <c r="E19" t="s">
        <v>124</v>
      </c>
      <c r="F19">
        <f t="shared" si="0"/>
        <v>999037164.90921307</v>
      </c>
    </row>
    <row r="20" spans="1:8">
      <c r="A20" s="45"/>
      <c r="B20" s="30" t="s">
        <v>51</v>
      </c>
      <c r="C20" s="29" t="s">
        <v>52</v>
      </c>
      <c r="D20" s="46">
        <f>D2+D16</f>
        <v>230367959.04051805</v>
      </c>
      <c r="F20">
        <f t="shared" si="0"/>
        <v>16885971397.669971</v>
      </c>
      <c r="G20">
        <f>D20/84000000</f>
        <v>2.74247570286331</v>
      </c>
      <c r="H20">
        <f>G20*73.3</f>
        <v>201.02346901988062</v>
      </c>
    </row>
    <row r="22" spans="1:8">
      <c r="A22" s="8"/>
      <c r="D22">
        <v>235829630.22656068</v>
      </c>
      <c r="G22">
        <f>D22*73.3/84000000</f>
        <v>205.78942732865352</v>
      </c>
      <c r="H22">
        <f>G22/73.3</f>
        <v>2.8074955979352461</v>
      </c>
    </row>
    <row r="23" spans="1:8">
      <c r="F23">
        <f>5436818</f>
        <v>5436818</v>
      </c>
    </row>
    <row r="24" spans="1:8">
      <c r="D24">
        <f>(D20*73.3)/10000000</f>
        <v>1688.5971397669971</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5E2718-A894-46C9-8AAC-B6F46A09F81E}">
  <dimension ref="A1:P27"/>
  <sheetViews>
    <sheetView showGridLines="0" workbookViewId="0">
      <selection activeCell="F6" sqref="F6"/>
    </sheetView>
  </sheetViews>
  <sheetFormatPr defaultRowHeight="15"/>
  <cols>
    <col min="1" max="1" width="4.28515625" bestFit="1" customWidth="1"/>
    <col min="2" max="2" width="85" customWidth="1"/>
    <col min="3" max="3" width="15.85546875" customWidth="1"/>
    <col min="4" max="4" width="20.85546875" customWidth="1"/>
    <col min="5" max="5" width="13.85546875" bestFit="1" customWidth="1"/>
    <col min="6" max="6" width="16.42578125" customWidth="1"/>
    <col min="7" max="7" width="14.7109375" customWidth="1"/>
    <col min="8" max="8" width="14.85546875" customWidth="1"/>
    <col min="9" max="9" width="14.5703125" customWidth="1"/>
    <col min="10" max="10" width="11.85546875" customWidth="1"/>
    <col min="11" max="11" width="12.28515625" customWidth="1"/>
    <col min="12" max="12" width="13.140625" customWidth="1"/>
    <col min="13" max="13" width="12" customWidth="1"/>
    <col min="14" max="14" width="15.7109375" customWidth="1"/>
    <col min="15" max="15" width="11.5703125" customWidth="1"/>
    <col min="16" max="16" width="13.5703125" customWidth="1"/>
  </cols>
  <sheetData>
    <row r="1" spans="1:16" ht="15.75" thickBot="1">
      <c r="D1" s="174">
        <v>2021</v>
      </c>
      <c r="E1" s="174">
        <v>2022</v>
      </c>
      <c r="F1" s="174">
        <v>2023</v>
      </c>
      <c r="G1" s="174">
        <v>2024</v>
      </c>
      <c r="H1" s="174">
        <v>2025</v>
      </c>
      <c r="I1" s="174">
        <v>2026</v>
      </c>
      <c r="J1" s="174">
        <v>2027</v>
      </c>
      <c r="K1" s="174">
        <v>2028</v>
      </c>
      <c r="L1" s="174">
        <v>2029</v>
      </c>
      <c r="M1" s="174">
        <v>2030</v>
      </c>
      <c r="N1" s="174">
        <v>2031</v>
      </c>
      <c r="O1" s="174">
        <v>2032</v>
      </c>
      <c r="P1" s="174">
        <v>2033</v>
      </c>
    </row>
    <row r="2" spans="1:16">
      <c r="A2" s="109"/>
      <c r="B2" s="110"/>
      <c r="C2" s="111"/>
      <c r="D2" s="112" t="s">
        <v>9</v>
      </c>
    </row>
    <row r="3" spans="1:16">
      <c r="A3" s="113" t="s">
        <v>3</v>
      </c>
      <c r="B3" s="87" t="s">
        <v>32</v>
      </c>
      <c r="C3" s="86" t="s">
        <v>265</v>
      </c>
      <c r="D3" s="114">
        <f>+D4+D7+D9+D12</f>
        <v>245061911.79291818</v>
      </c>
    </row>
    <row r="4" spans="1:16">
      <c r="A4" s="115" t="s">
        <v>10</v>
      </c>
      <c r="B4" s="105" t="s">
        <v>181</v>
      </c>
      <c r="C4" s="106"/>
      <c r="D4" s="175">
        <f>D5+D6</f>
        <v>227486000</v>
      </c>
      <c r="E4" s="185">
        <f>E5+E6</f>
        <v>230898290</v>
      </c>
      <c r="F4" s="185">
        <f t="shared" ref="F4:P4" si="0">F5+F6</f>
        <v>234361764.35000002</v>
      </c>
      <c r="G4" s="185">
        <f t="shared" si="0"/>
        <v>237877190.81524998</v>
      </c>
      <c r="H4" s="185">
        <f t="shared" si="0"/>
        <v>241445348.67747876</v>
      </c>
      <c r="I4" s="185">
        <f t="shared" si="0"/>
        <v>245067028.90764093</v>
      </c>
      <c r="J4" s="185">
        <f t="shared" si="0"/>
        <v>248743034.34125552</v>
      </c>
      <c r="K4" s="185">
        <f t="shared" si="0"/>
        <v>252474179.85637435</v>
      </c>
      <c r="L4" s="185">
        <f t="shared" si="0"/>
        <v>256261292.55421996</v>
      </c>
      <c r="M4" s="185">
        <f t="shared" si="0"/>
        <v>260105211.94253328</v>
      </c>
      <c r="N4" s="185">
        <f t="shared" si="0"/>
        <v>264006790.12167126</v>
      </c>
      <c r="O4" s="185">
        <f t="shared" si="0"/>
        <v>267966891.97349632</v>
      </c>
      <c r="P4" s="185">
        <f t="shared" si="0"/>
        <v>271986395.35309881</v>
      </c>
    </row>
    <row r="5" spans="1:16">
      <c r="A5" s="95">
        <v>1</v>
      </c>
      <c r="B5" s="32" t="s">
        <v>181</v>
      </c>
      <c r="C5" s="107" t="s">
        <v>37</v>
      </c>
      <c r="D5" s="176">
        <f>'Opex Segmental(84 KTPA)'!D6+'Opex Segmental(84 KTPA)'!D26+'Opex Segmental(84 KTPA)'!D46+'Opex Segmental(84 KTPA)'!D66</f>
        <v>197848000</v>
      </c>
      <c r="E5" s="176">
        <f>'Opex Segmental(84 KTPA)'!F5+'Opex Segmental(84 KTPA)'!F25+'Opex Segmental(84 KTPA)'!F33+'Opex Segmental(84 KTPA)'!F43</f>
        <v>200815720</v>
      </c>
      <c r="F5" s="176">
        <f>'Opex Segmental(84 KTPA)'!G5+'Opex Segmental(84 KTPA)'!G25+'Opex Segmental(84 KTPA)'!G33+'Opex Segmental(84 KTPA)'!G43</f>
        <v>203827955.80000001</v>
      </c>
      <c r="G5" s="176">
        <f>'Opex Segmental(84 KTPA)'!H5+'Opex Segmental(84 KTPA)'!H25+'Opex Segmental(84 KTPA)'!H33+'Opex Segmental(84 KTPA)'!H43</f>
        <v>206885375.13699999</v>
      </c>
      <c r="H5" s="176">
        <f>'Opex Segmental(84 KTPA)'!I5+'Opex Segmental(84 KTPA)'!I25+'Opex Segmental(84 KTPA)'!I33+'Opex Segmental(84 KTPA)'!I43</f>
        <v>209988655.76405501</v>
      </c>
      <c r="I5" s="176">
        <f>'Opex Segmental(84 KTPA)'!J5+'Opex Segmental(84 KTPA)'!J25+'Opex Segmental(84 KTPA)'!J33+'Opex Segmental(84 KTPA)'!J43</f>
        <v>213138485.60051581</v>
      </c>
      <c r="J5" s="176">
        <f>'Opex Segmental(84 KTPA)'!K5+'Opex Segmental(84 KTPA)'!K25+'Opex Segmental(84 KTPA)'!K33+'Opex Segmental(84 KTPA)'!K43</f>
        <v>216335562.88452354</v>
      </c>
      <c r="K5" s="176">
        <f>'Opex Segmental(84 KTPA)'!L5+'Opex Segmental(84 KTPA)'!L25+'Opex Segmental(84 KTPA)'!L33+'Opex Segmental(84 KTPA)'!L43</f>
        <v>219580596.32779139</v>
      </c>
      <c r="L5" s="176">
        <f>'Opex Segmental(84 KTPA)'!M5+'Opex Segmental(84 KTPA)'!M25+'Opex Segmental(84 KTPA)'!M33+'Opex Segmental(84 KTPA)'!M43</f>
        <v>222874305.27270827</v>
      </c>
      <c r="M5" s="176">
        <f>'Opex Segmental(84 KTPA)'!N5+'Opex Segmental(84 KTPA)'!N25+'Opex Segmental(84 KTPA)'!N33+'Opex Segmental(84 KTPA)'!N43</f>
        <v>226217419.85179889</v>
      </c>
      <c r="N5" s="176">
        <f>'Opex Segmental(84 KTPA)'!O5+'Opex Segmental(84 KTPA)'!O25+'Opex Segmental(84 KTPA)'!O33+'Opex Segmental(84 KTPA)'!O43</f>
        <v>229610681.14957586</v>
      </c>
      <c r="O5" s="176">
        <f>'Opex Segmental(84 KTPA)'!P5+'Opex Segmental(84 KTPA)'!P25+'Opex Segmental(84 KTPA)'!P33+'Opex Segmental(84 KTPA)'!P43</f>
        <v>233054841.3668195</v>
      </c>
      <c r="P5" s="176">
        <f>'Opex Segmental(84 KTPA)'!Q5+'Opex Segmental(84 KTPA)'!Q25+'Opex Segmental(84 KTPA)'!Q33+'Opex Segmental(84 KTPA)'!Q43</f>
        <v>236550663.98732182</v>
      </c>
    </row>
    <row r="6" spans="1:16">
      <c r="A6" s="95">
        <v>2</v>
      </c>
      <c r="B6" s="32" t="s">
        <v>193</v>
      </c>
      <c r="C6" s="107"/>
      <c r="D6" s="176">
        <f>'Opex Segmental(84 KTPA)'!D7+'Opex Segmental(84 KTPA)'!D27+'Opex Segmental(84 KTPA)'!D47+'Opex Segmental(84 KTPA)'!D67</f>
        <v>29638000</v>
      </c>
      <c r="E6" s="176">
        <f>'Opex Segmental(84 KTPA)'!F6+'Opex Segmental(84 KTPA)'!F26+'Opex Segmental(84 KTPA)'!F34+'Opex Segmental(84 KTPA)'!F44</f>
        <v>30082570</v>
      </c>
      <c r="F6" s="176">
        <f>'Opex Segmental(84 KTPA)'!G6+'Opex Segmental(84 KTPA)'!G26+'Opex Segmental(84 KTPA)'!G34+'Opex Segmental(84 KTPA)'!G44</f>
        <v>30533808.550000001</v>
      </c>
      <c r="G6" s="176">
        <f>'Opex Segmental(84 KTPA)'!H6+'Opex Segmental(84 KTPA)'!H26+'Opex Segmental(84 KTPA)'!H34+'Opex Segmental(84 KTPA)'!H44</f>
        <v>30991815.67825</v>
      </c>
      <c r="H6" s="176">
        <f>'Opex Segmental(84 KTPA)'!I6+'Opex Segmental(84 KTPA)'!I26+'Opex Segmental(84 KTPA)'!I34+'Opex Segmental(84 KTPA)'!I44</f>
        <v>31456692.913423747</v>
      </c>
      <c r="I6" s="176">
        <f>'Opex Segmental(84 KTPA)'!J6+'Opex Segmental(84 KTPA)'!J26+'Opex Segmental(84 KTPA)'!J34+'Opex Segmental(84 KTPA)'!J44</f>
        <v>31928543.307125106</v>
      </c>
      <c r="J6" s="176">
        <f>'Opex Segmental(84 KTPA)'!K6+'Opex Segmental(84 KTPA)'!K26+'Opex Segmental(84 KTPA)'!K34+'Opex Segmental(84 KTPA)'!K44</f>
        <v>32407471.456731983</v>
      </c>
      <c r="K6" s="176">
        <f>'Opex Segmental(84 KTPA)'!L6+'Opex Segmental(84 KTPA)'!L26+'Opex Segmental(84 KTPA)'!L34+'Opex Segmental(84 KTPA)'!L44</f>
        <v>32893583.52858296</v>
      </c>
      <c r="L6" s="176">
        <f>'Opex Segmental(84 KTPA)'!M6+'Opex Segmental(84 KTPA)'!M26+'Opex Segmental(84 KTPA)'!M34+'Opex Segmental(84 KTPA)'!M44</f>
        <v>33386987.281511709</v>
      </c>
      <c r="M6" s="176">
        <f>'Opex Segmental(84 KTPA)'!N6+'Opex Segmental(84 KTPA)'!N26+'Opex Segmental(84 KTPA)'!N34+'Opex Segmental(84 KTPA)'!N44</f>
        <v>33887792.090734385</v>
      </c>
      <c r="N6" s="176">
        <f>'Opex Segmental(84 KTPA)'!O6+'Opex Segmental(84 KTPA)'!O26+'Opex Segmental(84 KTPA)'!O34+'Opex Segmental(84 KTPA)'!O44</f>
        <v>34396108.972095393</v>
      </c>
      <c r="O6" s="176">
        <f>'Opex Segmental(84 KTPA)'!P6+'Opex Segmental(84 KTPA)'!P26+'Opex Segmental(84 KTPA)'!P34+'Opex Segmental(84 KTPA)'!P44</f>
        <v>34912050.606676824</v>
      </c>
      <c r="P6" s="176">
        <f>'Opex Segmental(84 KTPA)'!Q6+'Opex Segmental(84 KTPA)'!Q26+'Opex Segmental(84 KTPA)'!Q34+'Opex Segmental(84 KTPA)'!Q44</f>
        <v>35435731.365776978</v>
      </c>
    </row>
    <row r="7" spans="1:16">
      <c r="A7" s="115" t="s">
        <v>11</v>
      </c>
      <c r="B7" s="105" t="s">
        <v>132</v>
      </c>
      <c r="C7" s="106"/>
      <c r="D7" s="177">
        <f>D8</f>
        <v>2560000</v>
      </c>
      <c r="E7" s="177">
        <f t="shared" ref="E7:P7" si="1">E8</f>
        <v>2764800</v>
      </c>
      <c r="F7" s="177">
        <f t="shared" si="1"/>
        <v>2985984</v>
      </c>
      <c r="G7" s="177">
        <f t="shared" si="1"/>
        <v>3224862.7200000002</v>
      </c>
      <c r="H7" s="177">
        <f t="shared" si="1"/>
        <v>3482851.7375999996</v>
      </c>
      <c r="I7" s="177">
        <f t="shared" si="1"/>
        <v>3761479.8766080001</v>
      </c>
      <c r="J7" s="177">
        <f t="shared" si="1"/>
        <v>4062398.2667366401</v>
      </c>
      <c r="K7" s="177">
        <f t="shared" si="1"/>
        <v>4387390.1280755708</v>
      </c>
      <c r="L7" s="177">
        <f t="shared" si="1"/>
        <v>4738381.3383216169</v>
      </c>
      <c r="M7" s="177">
        <f t="shared" si="1"/>
        <v>5117451.8453873461</v>
      </c>
      <c r="N7" s="177">
        <f t="shared" si="1"/>
        <v>5526847.9930183338</v>
      </c>
      <c r="O7" s="177">
        <f t="shared" si="1"/>
        <v>5968995.8324597999</v>
      </c>
      <c r="P7" s="177">
        <f t="shared" si="1"/>
        <v>6446515.4990565851</v>
      </c>
    </row>
    <row r="8" spans="1:16">
      <c r="A8" s="95">
        <v>3</v>
      </c>
      <c r="B8" s="32" t="s">
        <v>196</v>
      </c>
      <c r="C8" s="107" t="s">
        <v>37</v>
      </c>
      <c r="D8" s="176">
        <f>'Opex Segmental(84 KTPA)'!D9+'Opex Segmental(84 KTPA)'!D29+'Opex Segmental(84 KTPA)'!D49+'Opex Segmental(84 KTPA)'!D69</f>
        <v>2560000</v>
      </c>
      <c r="E8" s="176">
        <f>'Opex Segmental(84 KTPA)'!F8+'Opex Segmental(84 KTPA)'!F28+'Opex Segmental(84 KTPA)'!F36+'Opex Segmental(84 KTPA)'!F46</f>
        <v>2764800</v>
      </c>
      <c r="F8" s="176">
        <f>'Opex Segmental(84 KTPA)'!G8+'Opex Segmental(84 KTPA)'!G28+'Opex Segmental(84 KTPA)'!G36+'Opex Segmental(84 KTPA)'!G46</f>
        <v>2985984</v>
      </c>
      <c r="G8" s="176">
        <f>'Opex Segmental(84 KTPA)'!H8+'Opex Segmental(84 KTPA)'!H28+'Opex Segmental(84 KTPA)'!H36+'Opex Segmental(84 KTPA)'!H46</f>
        <v>3224862.7200000002</v>
      </c>
      <c r="H8" s="176">
        <f>'Opex Segmental(84 KTPA)'!I8+'Opex Segmental(84 KTPA)'!I28+'Opex Segmental(84 KTPA)'!I36+'Opex Segmental(84 KTPA)'!I46</f>
        <v>3482851.7375999996</v>
      </c>
      <c r="I8" s="176">
        <f>'Opex Segmental(84 KTPA)'!J8+'Opex Segmental(84 KTPA)'!J28+'Opex Segmental(84 KTPA)'!J36+'Opex Segmental(84 KTPA)'!J46</f>
        <v>3761479.8766080001</v>
      </c>
      <c r="J8" s="176">
        <f>'Opex Segmental(84 KTPA)'!K8+'Opex Segmental(84 KTPA)'!K28+'Opex Segmental(84 KTPA)'!K36+'Opex Segmental(84 KTPA)'!K46</f>
        <v>4062398.2667366401</v>
      </c>
      <c r="K8" s="176">
        <f>'Opex Segmental(84 KTPA)'!L8+'Opex Segmental(84 KTPA)'!L28+'Opex Segmental(84 KTPA)'!L36+'Opex Segmental(84 KTPA)'!L46</f>
        <v>4387390.1280755708</v>
      </c>
      <c r="L8" s="176">
        <f>'Opex Segmental(84 KTPA)'!M8+'Opex Segmental(84 KTPA)'!M28+'Opex Segmental(84 KTPA)'!M36+'Opex Segmental(84 KTPA)'!M46</f>
        <v>4738381.3383216169</v>
      </c>
      <c r="M8" s="176">
        <f>'Opex Segmental(84 KTPA)'!N8+'Opex Segmental(84 KTPA)'!N28+'Opex Segmental(84 KTPA)'!N36+'Opex Segmental(84 KTPA)'!N46</f>
        <v>5117451.8453873461</v>
      </c>
      <c r="N8" s="176">
        <f>'Opex Segmental(84 KTPA)'!O8+'Opex Segmental(84 KTPA)'!O28+'Opex Segmental(84 KTPA)'!O36+'Opex Segmental(84 KTPA)'!O46</f>
        <v>5526847.9930183338</v>
      </c>
      <c r="O8" s="176">
        <f>'Opex Segmental(84 KTPA)'!P8+'Opex Segmental(84 KTPA)'!P28+'Opex Segmental(84 KTPA)'!P36+'Opex Segmental(84 KTPA)'!P46</f>
        <v>5968995.8324597999</v>
      </c>
      <c r="P8" s="176">
        <f>'Opex Segmental(84 KTPA)'!Q8+'Opex Segmental(84 KTPA)'!Q28+'Opex Segmental(84 KTPA)'!Q36+'Opex Segmental(84 KTPA)'!Q46</f>
        <v>6446515.4990565851</v>
      </c>
    </row>
    <row r="9" spans="1:16">
      <c r="A9" s="115" t="s">
        <v>45</v>
      </c>
      <c r="B9" s="105" t="s">
        <v>172</v>
      </c>
      <c r="C9" s="106"/>
      <c r="D9" s="178">
        <f>D10+D11</f>
        <v>12221767.931818182</v>
      </c>
      <c r="E9" s="178">
        <f t="shared" ref="E9:P9" si="2">E10+E11</f>
        <v>12429982.280965909</v>
      </c>
      <c r="F9" s="178">
        <f t="shared" si="2"/>
        <v>12641908.154477984</v>
      </c>
      <c r="G9" s="178">
        <f t="shared" si="2"/>
        <v>12857614.123308957</v>
      </c>
      <c r="H9" s="178">
        <f t="shared" si="2"/>
        <v>13077170.05908832</v>
      </c>
      <c r="I9" s="178">
        <f t="shared" si="2"/>
        <v>13300647.159249684</v>
      </c>
      <c r="J9" s="178">
        <f t="shared" si="2"/>
        <v>13528117.972651521</v>
      </c>
      <c r="K9" s="178">
        <f t="shared" si="2"/>
        <v>13759656.425699104</v>
      </c>
      <c r="L9" s="178">
        <f t="shared" si="2"/>
        <v>13995337.848977569</v>
      </c>
      <c r="M9" s="178">
        <f t="shared" si="2"/>
        <v>14235239.004406162</v>
      </c>
      <c r="N9" s="178">
        <f t="shared" si="2"/>
        <v>14479438.112923939</v>
      </c>
      <c r="O9" s="178">
        <f t="shared" si="2"/>
        <v>14728014.882717444</v>
      </c>
      <c r="P9" s="178">
        <f t="shared" si="2"/>
        <v>14981050.538001005</v>
      </c>
    </row>
    <row r="10" spans="1:16">
      <c r="A10" s="116">
        <v>4</v>
      </c>
      <c r="B10" s="32" t="s">
        <v>195</v>
      </c>
      <c r="C10" s="108"/>
      <c r="D10" s="176">
        <f>'Opex Segmental(84 KTPA)'!D11+'Opex Segmental(84 KTPA)'!D31+'Opex Segmental(84 KTPA)'!D51+'Opex Segmental(84 KTPA)'!D71</f>
        <v>7392300</v>
      </c>
      <c r="E10" s="124">
        <f>D10+D10*2%</f>
        <v>7540146</v>
      </c>
      <c r="F10" s="124">
        <f t="shared" ref="F10:P10" si="3">E10+E10*2%</f>
        <v>7690948.9199999999</v>
      </c>
      <c r="G10" s="124">
        <f t="shared" si="3"/>
        <v>7844767.8984000003</v>
      </c>
      <c r="H10" s="124">
        <f t="shared" si="3"/>
        <v>8001663.2563680001</v>
      </c>
      <c r="I10" s="124">
        <f t="shared" si="3"/>
        <v>8161696.5214953599</v>
      </c>
      <c r="J10" s="124">
        <f t="shared" si="3"/>
        <v>8324930.4519252675</v>
      </c>
      <c r="K10" s="124">
        <f t="shared" si="3"/>
        <v>8491429.0609637722</v>
      </c>
      <c r="L10" s="124">
        <f t="shared" si="3"/>
        <v>8661257.6421830468</v>
      </c>
      <c r="M10" s="124">
        <f t="shared" si="3"/>
        <v>8834482.7950267084</v>
      </c>
      <c r="N10" s="124">
        <f t="shared" si="3"/>
        <v>9011172.4509272426</v>
      </c>
      <c r="O10" s="124">
        <f t="shared" si="3"/>
        <v>9191395.8999457881</v>
      </c>
      <c r="P10" s="124">
        <f t="shared" si="3"/>
        <v>9375223.8179447036</v>
      </c>
    </row>
    <row r="11" spans="1:16">
      <c r="A11" s="95">
        <v>5</v>
      </c>
      <c r="B11" s="32" t="s">
        <v>192</v>
      </c>
      <c r="C11" s="108"/>
      <c r="D11" s="176">
        <f>'Opex Segmental(84 KTPA)'!D12+'Opex Segmental(84 KTPA)'!D32+'Opex Segmental(84 KTPA)'!D52+'Opex Segmental(84 KTPA)'!D72</f>
        <v>4829467.9318181816</v>
      </c>
      <c r="E11" s="124">
        <f>D11+D11*1.25%</f>
        <v>4889836.2809659094</v>
      </c>
      <c r="F11" s="124">
        <f t="shared" ref="F11:P11" si="4">E11+E11*1.25%</f>
        <v>4950959.2344779829</v>
      </c>
      <c r="G11" s="124">
        <f t="shared" si="4"/>
        <v>5012846.2249089573</v>
      </c>
      <c r="H11" s="124">
        <f t="shared" si="4"/>
        <v>5075506.8027203195</v>
      </c>
      <c r="I11" s="124">
        <f t="shared" si="4"/>
        <v>5138950.6377543239</v>
      </c>
      <c r="J11" s="124">
        <f t="shared" si="4"/>
        <v>5203187.5207262533</v>
      </c>
      <c r="K11" s="124">
        <f t="shared" si="4"/>
        <v>5268227.3647353314</v>
      </c>
      <c r="L11" s="124">
        <f t="shared" si="4"/>
        <v>5334080.2067945227</v>
      </c>
      <c r="M11" s="124">
        <f t="shared" si="4"/>
        <v>5400756.2093794541</v>
      </c>
      <c r="N11" s="124">
        <f t="shared" si="4"/>
        <v>5468265.6619966971</v>
      </c>
      <c r="O11" s="124">
        <f t="shared" si="4"/>
        <v>5536618.9827716555</v>
      </c>
      <c r="P11" s="124">
        <f t="shared" si="4"/>
        <v>5605826.720056301</v>
      </c>
    </row>
    <row r="12" spans="1:16">
      <c r="A12" s="115" t="s">
        <v>182</v>
      </c>
      <c r="B12" s="105" t="s">
        <v>173</v>
      </c>
      <c r="C12" s="106"/>
      <c r="D12" s="184">
        <f>SUM(D13:D15)</f>
        <v>2794143.8611000003</v>
      </c>
    </row>
    <row r="13" spans="1:16">
      <c r="A13" s="95">
        <v>6</v>
      </c>
      <c r="B13" s="120" t="s">
        <v>298</v>
      </c>
      <c r="C13" s="121">
        <v>2.5000000000000001E-2</v>
      </c>
      <c r="D13" s="182">
        <f>'Opex Segmental(84 KTPA)'!D14+'Opex Segmental(84 KTPA)'!D34+'Opex Segmental(84 KTPA)'!D54+'Opex Segmental(84 KTPA)'!D74</f>
        <v>894286.3620000002</v>
      </c>
    </row>
    <row r="14" spans="1:16">
      <c r="A14" s="95">
        <v>7</v>
      </c>
      <c r="B14" s="120" t="s">
        <v>297</v>
      </c>
      <c r="C14" s="121">
        <v>0.45</v>
      </c>
      <c r="D14" s="182">
        <f>'Opex Segmental(84 KTPA)'!D15+'Opex Segmental(84 KTPA)'!D35+'Opex Segmental(84 KTPA)'!D55+'Opex Segmental(84 KTPA)'!D75</f>
        <v>1554428.8629000001</v>
      </c>
    </row>
    <row r="15" spans="1:16">
      <c r="A15" s="95">
        <v>8</v>
      </c>
      <c r="B15" s="120" t="s">
        <v>299</v>
      </c>
      <c r="C15" s="121">
        <v>0.1</v>
      </c>
      <c r="D15" s="182">
        <f>'Opex Segmental(84 KTPA)'!D16+'Opex Segmental(84 KTPA)'!D36+'Opex Segmental(84 KTPA)'!D56+'Opex Segmental(84 KTPA)'!D76</f>
        <v>345428.63620000001</v>
      </c>
    </row>
    <row r="16" spans="1:16">
      <c r="A16" s="115" t="s">
        <v>4</v>
      </c>
      <c r="B16" s="122" t="s">
        <v>174</v>
      </c>
      <c r="C16" s="123"/>
      <c r="D16" s="184">
        <f>SUM(D17:D18)</f>
        <v>28507193.179291822</v>
      </c>
      <c r="G16" s="4"/>
    </row>
    <row r="17" spans="1:4">
      <c r="A17" s="95">
        <v>9</v>
      </c>
      <c r="B17" s="120" t="s">
        <v>300</v>
      </c>
      <c r="C17" s="121">
        <v>0.1</v>
      </c>
      <c r="D17" s="182">
        <f>'Opex Segmental(84 KTPA)'!D18+'Opex Segmental(84 KTPA)'!D38+'Opex Segmental(84 KTPA)'!D58+'Opex Segmental(84 KTPA)'!D78</f>
        <v>23755994.316076517</v>
      </c>
    </row>
    <row r="18" spans="1:4">
      <c r="A18" s="95">
        <v>10</v>
      </c>
      <c r="B18" s="120" t="s">
        <v>301</v>
      </c>
      <c r="C18" s="121">
        <v>0.02</v>
      </c>
      <c r="D18" s="182">
        <f>'Opex Segmental(84 KTPA)'!D19+'Opex Segmental(84 KTPA)'!D39+'Opex Segmental(84 KTPA)'!D59+'Opex Segmental(84 KTPA)'!D79</f>
        <v>4751198.863215303</v>
      </c>
    </row>
    <row r="19" spans="1:4" ht="15.75" thickBot="1">
      <c r="A19" s="117"/>
      <c r="B19" s="118" t="s">
        <v>183</v>
      </c>
      <c r="C19" s="119" t="s">
        <v>266</v>
      </c>
      <c r="D19" s="207">
        <f>D16+D3</f>
        <v>273569104.97220999</v>
      </c>
    </row>
    <row r="20" spans="1:4">
      <c r="B20" s="157" t="s">
        <v>236</v>
      </c>
    </row>
    <row r="21" spans="1:4">
      <c r="B21" s="158" t="s">
        <v>237</v>
      </c>
    </row>
    <row r="22" spans="1:4">
      <c r="B22" s="158" t="s">
        <v>238</v>
      </c>
    </row>
    <row r="23" spans="1:4" ht="25.5">
      <c r="B23" s="158" t="s">
        <v>239</v>
      </c>
    </row>
    <row r="24" spans="1:4" ht="38.25">
      <c r="B24" s="158" t="s">
        <v>240</v>
      </c>
    </row>
    <row r="25" spans="1:4">
      <c r="B25" s="158" t="s">
        <v>241</v>
      </c>
    </row>
    <row r="26" spans="1:4" ht="38.25">
      <c r="B26" s="158" t="s">
        <v>242</v>
      </c>
    </row>
    <row r="27" spans="1:4">
      <c r="B27" s="158"/>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8F6E11-9D91-4775-98B4-2D4C5103CFA3}">
  <dimension ref="A1:D11"/>
  <sheetViews>
    <sheetView showGridLines="0" workbookViewId="0">
      <selection activeCell="E18" sqref="E18"/>
    </sheetView>
  </sheetViews>
  <sheetFormatPr defaultRowHeight="15"/>
  <cols>
    <col min="1" max="1" width="36.5703125" bestFit="1" customWidth="1"/>
    <col min="2" max="2" width="21" customWidth="1"/>
    <col min="3" max="3" width="15.140625" customWidth="1"/>
    <col min="4" max="4" width="22.5703125" customWidth="1"/>
  </cols>
  <sheetData>
    <row r="1" spans="1:4">
      <c r="A1" s="274" t="s">
        <v>282</v>
      </c>
      <c r="B1" s="275"/>
      <c r="C1" s="275"/>
      <c r="D1" s="275"/>
    </row>
    <row r="2" spans="1:4">
      <c r="A2" s="210"/>
      <c r="B2" s="210" t="s">
        <v>283</v>
      </c>
      <c r="C2" s="208"/>
      <c r="D2" s="210"/>
    </row>
    <row r="3" spans="1:4">
      <c r="A3" s="209"/>
      <c r="B3" s="210">
        <f>SUM(B4:B9)</f>
        <v>320</v>
      </c>
      <c r="C3" s="210" t="s">
        <v>292</v>
      </c>
      <c r="D3" s="209"/>
    </row>
    <row r="4" spans="1:4">
      <c r="A4" s="209" t="s">
        <v>284</v>
      </c>
      <c r="B4" s="209">
        <v>5</v>
      </c>
      <c r="C4" s="211">
        <v>50</v>
      </c>
      <c r="D4" s="209">
        <f>B4*C4</f>
        <v>250</v>
      </c>
    </row>
    <row r="5" spans="1:4">
      <c r="A5" s="209" t="s">
        <v>285</v>
      </c>
      <c r="B5" s="209">
        <v>10</v>
      </c>
      <c r="C5" s="211">
        <v>25</v>
      </c>
      <c r="D5" s="209">
        <f t="shared" ref="D5:D9" si="0">B5*C5</f>
        <v>250</v>
      </c>
    </row>
    <row r="6" spans="1:4">
      <c r="A6" s="209" t="s">
        <v>286</v>
      </c>
      <c r="B6" s="209">
        <v>25</v>
      </c>
      <c r="C6" s="211">
        <v>15</v>
      </c>
      <c r="D6" s="209">
        <f t="shared" si="0"/>
        <v>375</v>
      </c>
    </row>
    <row r="7" spans="1:4">
      <c r="A7" s="209" t="s">
        <v>287</v>
      </c>
      <c r="B7" s="209">
        <v>30</v>
      </c>
      <c r="C7" s="211">
        <v>7.5</v>
      </c>
      <c r="D7" s="209">
        <f t="shared" si="0"/>
        <v>225</v>
      </c>
    </row>
    <row r="8" spans="1:4">
      <c r="A8" s="209" t="s">
        <v>288</v>
      </c>
      <c r="B8" s="209">
        <v>50</v>
      </c>
      <c r="C8" s="211">
        <v>5</v>
      </c>
      <c r="D8" s="209">
        <f t="shared" si="0"/>
        <v>250</v>
      </c>
    </row>
    <row r="9" spans="1:4">
      <c r="A9" s="209" t="s">
        <v>289</v>
      </c>
      <c r="B9" s="209">
        <v>200</v>
      </c>
      <c r="C9" s="211">
        <v>2.85</v>
      </c>
      <c r="D9" s="209">
        <f t="shared" si="0"/>
        <v>570</v>
      </c>
    </row>
    <row r="10" spans="1:4">
      <c r="A10" s="276" t="s">
        <v>290</v>
      </c>
      <c r="B10" s="277"/>
      <c r="C10" s="278"/>
      <c r="D10" s="209">
        <f>SUM(D4:D9)</f>
        <v>1920</v>
      </c>
    </row>
    <row r="11" spans="1:4">
      <c r="A11" s="276" t="s">
        <v>291</v>
      </c>
      <c r="B11" s="277"/>
      <c r="C11" s="278"/>
      <c r="D11" s="209">
        <f>(D10/75)/10</f>
        <v>2.56</v>
      </c>
    </row>
  </sheetData>
  <mergeCells count="3">
    <mergeCell ref="A1:D1"/>
    <mergeCell ref="A10:C10"/>
    <mergeCell ref="A11:C11"/>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0513DD-4EE5-4130-A2BB-A87BFE7437D7}">
  <dimension ref="A2:M79"/>
  <sheetViews>
    <sheetView showGridLines="0" workbookViewId="0">
      <selection activeCell="D28" sqref="D28"/>
    </sheetView>
  </sheetViews>
  <sheetFormatPr defaultColWidth="8.7109375" defaultRowHeight="15"/>
  <cols>
    <col min="1" max="1" width="8.85546875" style="68" bestFit="1" customWidth="1"/>
    <col min="2" max="2" width="27.42578125" bestFit="1" customWidth="1"/>
    <col min="3" max="3" width="43.42578125" bestFit="1" customWidth="1"/>
    <col min="4" max="4" width="15.28515625" style="88" bestFit="1" customWidth="1"/>
    <col min="5" max="5" width="17.140625" customWidth="1"/>
    <col min="6" max="6" width="18.7109375" bestFit="1" customWidth="1"/>
    <col min="7" max="7" width="15.28515625" bestFit="1" customWidth="1"/>
    <col min="8" max="8" width="18.7109375" bestFit="1" customWidth="1"/>
    <col min="9" max="13" width="16.28515625" bestFit="1" customWidth="1"/>
  </cols>
  <sheetData>
    <row r="2" spans="1:13" s="77" customFormat="1">
      <c r="A2" s="69"/>
      <c r="B2" s="69" t="s">
        <v>53</v>
      </c>
      <c r="C2" s="69"/>
      <c r="D2" s="280" t="s">
        <v>55</v>
      </c>
      <c r="E2" s="280"/>
      <c r="F2" s="280"/>
      <c r="G2" s="280"/>
      <c r="H2" s="280"/>
      <c r="I2" s="280"/>
      <c r="J2" s="280"/>
      <c r="K2" s="280"/>
      <c r="L2" s="280"/>
      <c r="M2" s="280"/>
    </row>
    <row r="3" spans="1:13" s="77" customFormat="1">
      <c r="A3" s="69"/>
      <c r="B3" s="69"/>
      <c r="C3" s="69"/>
      <c r="D3" s="191">
        <v>1</v>
      </c>
      <c r="E3" s="69">
        <v>2</v>
      </c>
      <c r="F3" s="69">
        <v>3</v>
      </c>
      <c r="G3" s="69">
        <v>4</v>
      </c>
      <c r="H3" s="69">
        <v>5</v>
      </c>
      <c r="I3" s="69">
        <v>6</v>
      </c>
      <c r="J3" s="70">
        <v>7</v>
      </c>
      <c r="K3" s="69">
        <v>8</v>
      </c>
      <c r="L3" s="70">
        <v>9</v>
      </c>
      <c r="M3" s="69">
        <v>10</v>
      </c>
    </row>
    <row r="4" spans="1:13" s="171" customFormat="1">
      <c r="A4" s="168"/>
      <c r="B4" s="169" t="s">
        <v>248</v>
      </c>
      <c r="C4" s="168" t="s">
        <v>257</v>
      </c>
      <c r="D4" s="168"/>
      <c r="E4" s="168"/>
      <c r="F4" s="168"/>
      <c r="G4" s="168"/>
      <c r="H4" s="168"/>
      <c r="I4" s="168"/>
      <c r="J4" s="170"/>
      <c r="K4" s="168"/>
      <c r="L4" s="170"/>
      <c r="M4" s="168"/>
    </row>
    <row r="5" spans="1:13">
      <c r="A5" s="126">
        <v>1</v>
      </c>
      <c r="B5" s="126" t="s">
        <v>128</v>
      </c>
      <c r="C5" s="132">
        <f>C6</f>
        <v>-35771454.480000004</v>
      </c>
      <c r="D5" s="133"/>
      <c r="E5" s="132"/>
      <c r="F5" s="132"/>
      <c r="G5" s="132"/>
      <c r="H5" s="132"/>
      <c r="I5" s="132"/>
      <c r="J5" s="78"/>
      <c r="K5" s="132"/>
      <c r="L5" s="132"/>
      <c r="M5" s="132"/>
    </row>
    <row r="6" spans="1:13" s="125" customFormat="1">
      <c r="A6" s="127"/>
      <c r="B6" s="165" t="s">
        <v>129</v>
      </c>
      <c r="C6" s="134">
        <f>-Capex!C20</f>
        <v>-35771454.480000004</v>
      </c>
      <c r="D6" s="180"/>
      <c r="E6" s="180"/>
      <c r="F6" s="180"/>
      <c r="G6" s="180"/>
      <c r="H6" s="180"/>
      <c r="I6" s="180"/>
      <c r="J6" s="180"/>
      <c r="K6" s="180"/>
      <c r="L6" s="180"/>
      <c r="M6" s="180"/>
    </row>
    <row r="7" spans="1:13" s="125" customFormat="1">
      <c r="A7" s="159"/>
      <c r="B7" s="166"/>
      <c r="C7" s="160"/>
      <c r="D7" s="173"/>
      <c r="E7" s="173"/>
      <c r="F7" s="173"/>
      <c r="G7" s="173"/>
      <c r="H7" s="173"/>
      <c r="I7" s="173"/>
      <c r="J7" s="173"/>
      <c r="K7" s="173"/>
      <c r="L7" s="173"/>
      <c r="M7" s="173"/>
    </row>
    <row r="8" spans="1:13" s="164" customFormat="1">
      <c r="A8" s="161"/>
      <c r="B8" s="167" t="s">
        <v>246</v>
      </c>
      <c r="C8" s="162"/>
      <c r="D8" s="198">
        <v>0.6</v>
      </c>
      <c r="E8" s="163">
        <v>0.8</v>
      </c>
      <c r="F8" s="163">
        <v>0.9</v>
      </c>
      <c r="G8" s="163">
        <v>0.95</v>
      </c>
      <c r="H8" s="163">
        <v>0.77</v>
      </c>
      <c r="I8" s="163">
        <v>0.88</v>
      </c>
      <c r="J8" s="163">
        <v>0.95</v>
      </c>
      <c r="K8" s="163">
        <v>0.95</v>
      </c>
      <c r="L8" s="163">
        <v>0.95</v>
      </c>
      <c r="M8" s="163">
        <v>0.95</v>
      </c>
    </row>
    <row r="9" spans="1:13" s="77" customFormat="1">
      <c r="A9" s="128">
        <v>2</v>
      </c>
      <c r="B9" s="128" t="s">
        <v>57</v>
      </c>
      <c r="C9" s="135"/>
      <c r="D9" s="199">
        <f>+D10*D11+D12*D13+D14*D15+D17*D16</f>
        <v>99455801.75999999</v>
      </c>
      <c r="E9" s="135">
        <f t="shared" ref="E9:M9" si="0">+E10*E11+E12*E13+E14*E15+E17*E16</f>
        <v>134596851.71520001</v>
      </c>
      <c r="F9" s="135">
        <f t="shared" si="0"/>
        <v>153692780.05229399</v>
      </c>
      <c r="G9" s="135">
        <f t="shared" si="0"/>
        <v>164664736.85047162</v>
      </c>
      <c r="H9" s="135">
        <f t="shared" si="0"/>
        <v>283480560.63591641</v>
      </c>
      <c r="I9" s="135">
        <f t="shared" si="0"/>
        <v>314261166.9075948</v>
      </c>
      <c r="J9" s="135">
        <f t="shared" si="0"/>
        <v>344348102.48937309</v>
      </c>
      <c r="K9" s="135">
        <f t="shared" si="0"/>
        <v>349538299.53269565</v>
      </c>
      <c r="L9" s="135">
        <f t="shared" si="0"/>
        <v>354781374.02568603</v>
      </c>
      <c r="M9" s="135">
        <f t="shared" si="0"/>
        <v>360103094.63607132</v>
      </c>
    </row>
    <row r="10" spans="1:13">
      <c r="A10" s="126"/>
      <c r="B10" s="136" t="s">
        <v>269</v>
      </c>
      <c r="C10" s="132"/>
      <c r="D10" s="187">
        <f>42000000*D8*0.52381</f>
        <v>13200012</v>
      </c>
      <c r="E10" s="132">
        <f>42000000*E8*0.52381</f>
        <v>17600016</v>
      </c>
      <c r="F10" s="132">
        <f>42000000*F8*0.52381</f>
        <v>19800018</v>
      </c>
      <c r="G10" s="132">
        <f>42000000*G8*0.52381</f>
        <v>20900019</v>
      </c>
      <c r="H10" s="132">
        <f t="shared" ref="H10:M10" si="1">84000000*H8*0.52381</f>
        <v>33880030.799999997</v>
      </c>
      <c r="I10" s="132">
        <f t="shared" si="1"/>
        <v>38720035.200000003</v>
      </c>
      <c r="J10" s="132">
        <f t="shared" si="1"/>
        <v>41800038</v>
      </c>
      <c r="K10" s="132">
        <f t="shared" si="1"/>
        <v>41800038</v>
      </c>
      <c r="L10" s="132">
        <f t="shared" si="1"/>
        <v>41800038</v>
      </c>
      <c r="M10" s="132">
        <f t="shared" si="1"/>
        <v>41800038</v>
      </c>
    </row>
    <row r="11" spans="1:13">
      <c r="A11" s="126"/>
      <c r="B11" s="136" t="s">
        <v>191</v>
      </c>
      <c r="C11" s="132"/>
      <c r="D11" s="195">
        <v>3.98</v>
      </c>
      <c r="E11" s="192">
        <f>D11*1.015</f>
        <v>4.0396999999999998</v>
      </c>
      <c r="F11" s="192">
        <f t="shared" ref="F11:M11" si="2">E11*1.015</f>
        <v>4.1002954999999996</v>
      </c>
      <c r="G11" s="192">
        <f t="shared" si="2"/>
        <v>4.1617999324999992</v>
      </c>
      <c r="H11" s="192">
        <f t="shared" si="2"/>
        <v>4.2242269314874985</v>
      </c>
      <c r="I11" s="192">
        <f t="shared" si="2"/>
        <v>4.2875903354598108</v>
      </c>
      <c r="J11" s="192">
        <f t="shared" si="2"/>
        <v>4.351904190491708</v>
      </c>
      <c r="K11" s="192">
        <f t="shared" si="2"/>
        <v>4.4171827533490831</v>
      </c>
      <c r="L11" s="192">
        <f t="shared" si="2"/>
        <v>4.4834404946493187</v>
      </c>
      <c r="M11" s="192">
        <f t="shared" si="2"/>
        <v>4.5506921020690578</v>
      </c>
    </row>
    <row r="12" spans="1:13">
      <c r="A12" s="126"/>
      <c r="B12" s="136" t="s">
        <v>270</v>
      </c>
      <c r="C12" s="132"/>
      <c r="D12" s="194">
        <f>42000000*D8*0.2381</f>
        <v>6000120</v>
      </c>
      <c r="E12" s="193">
        <f>42000000*E8*0.2381</f>
        <v>8000160</v>
      </c>
      <c r="F12" s="193">
        <f>42000000*F8*0.2381</f>
        <v>9000180</v>
      </c>
      <c r="G12" s="193">
        <f>42000000*G8*0.2381</f>
        <v>9500190</v>
      </c>
      <c r="H12" s="193">
        <f>84000000*H8*0.2381</f>
        <v>15400308</v>
      </c>
      <c r="I12" s="193">
        <f>84000000*I8*0.2381</f>
        <v>17600352</v>
      </c>
      <c r="J12" s="193">
        <f>84000000*J8*0.2381</f>
        <v>19000380</v>
      </c>
      <c r="K12" s="193">
        <f t="shared" ref="K12:M12" si="3">84000000*K8*0.2381</f>
        <v>19000380</v>
      </c>
      <c r="L12" s="193">
        <f t="shared" si="3"/>
        <v>19000380</v>
      </c>
      <c r="M12" s="193">
        <f t="shared" si="3"/>
        <v>19000380</v>
      </c>
    </row>
    <row r="13" spans="1:13">
      <c r="A13" s="126"/>
      <c r="B13" s="136" t="s">
        <v>254</v>
      </c>
      <c r="C13" s="139"/>
      <c r="D13" s="195">
        <f>3.45</f>
        <v>3.45</v>
      </c>
      <c r="E13" s="192">
        <f>D13*1.015</f>
        <v>3.5017499999999999</v>
      </c>
      <c r="F13" s="192">
        <f t="shared" ref="F13:M13" si="4">E13*1.015</f>
        <v>3.5542762499999996</v>
      </c>
      <c r="G13" s="192">
        <f t="shared" si="4"/>
        <v>3.6075903937499993</v>
      </c>
      <c r="H13" s="192">
        <f t="shared" si="4"/>
        <v>3.6617042496562489</v>
      </c>
      <c r="I13" s="192">
        <f t="shared" si="4"/>
        <v>3.7166298134010924</v>
      </c>
      <c r="J13" s="192">
        <f t="shared" si="4"/>
        <v>3.7723792606021083</v>
      </c>
      <c r="K13" s="192">
        <f t="shared" si="4"/>
        <v>3.8289649495111395</v>
      </c>
      <c r="L13" s="192">
        <f t="shared" si="4"/>
        <v>3.8863994237538062</v>
      </c>
      <c r="M13" s="192">
        <f t="shared" si="4"/>
        <v>3.9446954151101128</v>
      </c>
    </row>
    <row r="14" spans="1:13">
      <c r="A14" s="126"/>
      <c r="B14" s="136" t="s">
        <v>271</v>
      </c>
      <c r="C14" s="132"/>
      <c r="D14" s="194">
        <f>42000000*D8*0.07143</f>
        <v>1800035.9999999998</v>
      </c>
      <c r="E14" s="193">
        <f>42000000*E8*0.07143</f>
        <v>2400048</v>
      </c>
      <c r="F14" s="193">
        <f>42000000*F8*0.07143</f>
        <v>2700053.9999999995</v>
      </c>
      <c r="G14" s="193">
        <f>42000000*G8*0.07143</f>
        <v>2850056.9999999995</v>
      </c>
      <c r="H14" s="193">
        <f t="shared" ref="H14:M14" si="5">84000000*H8*0.07143</f>
        <v>4620092.3999999994</v>
      </c>
      <c r="I14" s="193">
        <f t="shared" si="5"/>
        <v>5280105.5999999996</v>
      </c>
      <c r="J14" s="193">
        <f t="shared" si="5"/>
        <v>5700113.9999999991</v>
      </c>
      <c r="K14" s="193">
        <f t="shared" si="5"/>
        <v>5700113.9999999991</v>
      </c>
      <c r="L14" s="193">
        <f t="shared" si="5"/>
        <v>5700113.9999999991</v>
      </c>
      <c r="M14" s="193">
        <f t="shared" si="5"/>
        <v>5700113.9999999991</v>
      </c>
    </row>
    <row r="15" spans="1:13">
      <c r="A15" s="126"/>
      <c r="B15" s="136" t="s">
        <v>255</v>
      </c>
      <c r="C15" s="132"/>
      <c r="D15" s="195">
        <v>3.6</v>
      </c>
      <c r="E15" s="192">
        <f>D15*1.015</f>
        <v>3.6539999999999999</v>
      </c>
      <c r="F15" s="192">
        <f t="shared" ref="F15:M15" si="6">E15*1.015</f>
        <v>3.7088099999999997</v>
      </c>
      <c r="G15" s="192">
        <f t="shared" si="6"/>
        <v>3.7644421499999994</v>
      </c>
      <c r="H15" s="192">
        <f t="shared" si="6"/>
        <v>3.8209087822499992</v>
      </c>
      <c r="I15" s="192">
        <f t="shared" si="6"/>
        <v>3.8782224139837487</v>
      </c>
      <c r="J15" s="192">
        <f t="shared" si="6"/>
        <v>3.9363957501935047</v>
      </c>
      <c r="K15" s="192">
        <f t="shared" si="6"/>
        <v>3.9954416864464068</v>
      </c>
      <c r="L15" s="192">
        <f t="shared" si="6"/>
        <v>4.0553733117431028</v>
      </c>
      <c r="M15" s="192">
        <f t="shared" si="6"/>
        <v>4.116203911419249</v>
      </c>
    </row>
    <row r="16" spans="1:13">
      <c r="A16" s="126"/>
      <c r="B16" s="136" t="s">
        <v>272</v>
      </c>
      <c r="C16" s="132"/>
      <c r="D16" s="194">
        <f>42000000*D8*0.16666</f>
        <v>4199832</v>
      </c>
      <c r="E16" s="194">
        <f>42000000*E8*0.16666</f>
        <v>5599776</v>
      </c>
      <c r="F16" s="194">
        <f>42000000*F8*0.16666</f>
        <v>6299748</v>
      </c>
      <c r="G16" s="194">
        <f>42000000*G8*0.16666</f>
        <v>6649734</v>
      </c>
      <c r="H16" s="194">
        <f>84000000*G8*0.1666</f>
        <v>13294680</v>
      </c>
      <c r="I16" s="194">
        <f>84000000*I8*0.1666</f>
        <v>12315072</v>
      </c>
      <c r="J16" s="194">
        <f>84000000*J8*0.1666</f>
        <v>13294680</v>
      </c>
      <c r="K16" s="194">
        <f>84000000*K8*0.16666</f>
        <v>13299468</v>
      </c>
      <c r="L16" s="194">
        <f>84000000*L8*0.16666</f>
        <v>13299468</v>
      </c>
      <c r="M16" s="194">
        <f>84000000*M8*0.16666</f>
        <v>13299468</v>
      </c>
    </row>
    <row r="17" spans="1:13">
      <c r="A17" s="126"/>
      <c r="B17" s="136" t="s">
        <v>273</v>
      </c>
      <c r="C17" s="132"/>
      <c r="D17" s="195">
        <v>4.7</v>
      </c>
      <c r="E17" s="195">
        <f>D17+D17*1.5%</f>
        <v>4.7705000000000002</v>
      </c>
      <c r="F17" s="195">
        <f t="shared" ref="F17:M17" si="7">E17+E17*1.5%</f>
        <v>4.8420575000000001</v>
      </c>
      <c r="G17" s="195">
        <f t="shared" si="7"/>
        <v>4.9146883624999997</v>
      </c>
      <c r="H17" s="195">
        <f t="shared" si="7"/>
        <v>4.9884086879374996</v>
      </c>
      <c r="I17" s="195">
        <f t="shared" si="7"/>
        <v>5.0632348182565625</v>
      </c>
      <c r="J17" s="195">
        <f t="shared" si="7"/>
        <v>5.139183340530411</v>
      </c>
      <c r="K17" s="195">
        <f t="shared" si="7"/>
        <v>5.2162710906383669</v>
      </c>
      <c r="L17" s="195">
        <f t="shared" si="7"/>
        <v>5.2945151569979423</v>
      </c>
      <c r="M17" s="195">
        <f t="shared" si="7"/>
        <v>5.3739328843529117</v>
      </c>
    </row>
    <row r="18" spans="1:13">
      <c r="A18" s="126"/>
      <c r="B18" s="136"/>
      <c r="C18" s="132"/>
      <c r="D18" s="186"/>
      <c r="E18" s="137"/>
      <c r="F18" s="137"/>
      <c r="G18" s="137"/>
      <c r="H18" s="137"/>
      <c r="I18" s="137"/>
      <c r="J18" s="137"/>
      <c r="K18" s="137"/>
      <c r="L18" s="137"/>
      <c r="M18" s="137"/>
    </row>
    <row r="19" spans="1:13">
      <c r="A19" s="126"/>
      <c r="B19" s="136"/>
      <c r="C19" s="132"/>
      <c r="D19" s="137"/>
      <c r="E19" s="137"/>
      <c r="F19" s="137"/>
      <c r="G19" s="137"/>
      <c r="H19" s="137"/>
      <c r="I19" s="137"/>
      <c r="J19" s="137"/>
      <c r="K19" s="137"/>
      <c r="L19" s="137"/>
      <c r="M19" s="137"/>
    </row>
    <row r="20" spans="1:13" s="77" customFormat="1">
      <c r="A20" s="128">
        <v>3</v>
      </c>
      <c r="B20" s="128" t="s">
        <v>165</v>
      </c>
      <c r="C20" s="135"/>
      <c r="D20" s="135">
        <f>SUM(D21:D23)</f>
        <v>10488078.672502086</v>
      </c>
      <c r="E20" s="135">
        <f t="shared" ref="E20:M20" si="8">SUM(E21:E23)</f>
        <v>3877566.8996026395</v>
      </c>
      <c r="F20" s="135">
        <f t="shared" si="8"/>
        <v>2104624.8026384846</v>
      </c>
      <c r="G20" s="135">
        <f t="shared" si="8"/>
        <v>1206344.4116876391</v>
      </c>
      <c r="H20" s="135">
        <f t="shared" si="8"/>
        <v>13267707.981929364</v>
      </c>
      <c r="I20" s="135">
        <f t="shared" si="8"/>
        <v>2710569.3476608722</v>
      </c>
      <c r="J20" s="135">
        <f t="shared" si="8"/>
        <v>3292060.4720159406</v>
      </c>
      <c r="K20" s="135">
        <f t="shared" si="8"/>
        <v>552284.94204564951</v>
      </c>
      <c r="L20" s="135">
        <f t="shared" si="8"/>
        <v>537813.93961136881</v>
      </c>
      <c r="M20" s="135">
        <f t="shared" si="8"/>
        <v>544043.48694935965</v>
      </c>
    </row>
    <row r="21" spans="1:13">
      <c r="A21" s="126"/>
      <c r="B21" s="126" t="s">
        <v>166</v>
      </c>
      <c r="C21" s="132"/>
      <c r="D21" s="132">
        <f>'Working sheet'!E5</f>
        <v>16348898.919452053</v>
      </c>
      <c r="E21" s="132">
        <f>'Working sheet'!F5</f>
        <v>5776610.9515397288</v>
      </c>
      <c r="F21" s="132">
        <f>'Working sheet'!G5</f>
        <v>3139056.7129469556</v>
      </c>
      <c r="G21" s="132">
        <f>'Working sheet'!H5</f>
        <v>1803609.3366867336</v>
      </c>
      <c r="H21" s="132">
        <f>'Working sheet'!I5</f>
        <v>19531368.293497775</v>
      </c>
      <c r="I21" s="132">
        <f>'Working sheet'!J5</f>
        <v>5059825.6884950772</v>
      </c>
      <c r="J21" s="132">
        <f>'Working sheet'!K5</f>
        <v>4945797.6298813624</v>
      </c>
      <c r="K21" s="132">
        <f>'Working sheet'!L5</f>
        <v>853183.07561466785</v>
      </c>
      <c r="L21" s="132">
        <f>'Working sheet'!M5</f>
        <v>861875.25912170543</v>
      </c>
      <c r="M21" s="132">
        <f>'Working sheet'!N5</f>
        <v>874803.38800854224</v>
      </c>
    </row>
    <row r="22" spans="1:13">
      <c r="A22" s="126"/>
      <c r="B22" s="126" t="s">
        <v>58</v>
      </c>
      <c r="C22" s="132"/>
      <c r="D22" s="132">
        <f>'Working sheet'!E10</f>
        <v>5860820.246949967</v>
      </c>
      <c r="E22" s="132">
        <f>'Working sheet'!F10</f>
        <v>1899044.0519370898</v>
      </c>
      <c r="F22" s="132">
        <f>'Working sheet'!G10</f>
        <v>1034431.9103084709</v>
      </c>
      <c r="G22" s="132">
        <f>'Working sheet'!H10</f>
        <v>597264.92499909457</v>
      </c>
      <c r="H22" s="132">
        <f>'Working sheet'!I10</f>
        <v>6263660.3115684101</v>
      </c>
      <c r="I22" s="132">
        <f>'Working sheet'!J10</f>
        <v>2349256.3408342046</v>
      </c>
      <c r="J22" s="132">
        <f>'Working sheet'!K10</f>
        <v>1653737.1578654223</v>
      </c>
      <c r="K22" s="132">
        <f>'Working sheet'!L10</f>
        <v>300898.13356901845</v>
      </c>
      <c r="L22" s="132">
        <f>'Working sheet'!M10</f>
        <v>324061.31951033662</v>
      </c>
      <c r="M22" s="132">
        <f>'Working sheet'!N10</f>
        <v>330759.90105918254</v>
      </c>
    </row>
    <row r="23" spans="1:13" s="77" customFormat="1">
      <c r="A23" s="128"/>
      <c r="B23" s="126" t="s">
        <v>167</v>
      </c>
      <c r="C23" s="135"/>
      <c r="D23" s="132">
        <f>'Working sheet'!E15</f>
        <v>-11721640.493899934</v>
      </c>
      <c r="E23" s="132">
        <f>'Working sheet'!F15</f>
        <v>-3798088.1038741795</v>
      </c>
      <c r="F23" s="132">
        <f>'Working sheet'!G15</f>
        <v>-2068863.8206169419</v>
      </c>
      <c r="G23" s="132">
        <f>'Working sheet'!H15</f>
        <v>-1194529.8499981891</v>
      </c>
      <c r="H23" s="132">
        <f>'Working sheet'!I15</f>
        <v>-12527320.62313682</v>
      </c>
      <c r="I23" s="132">
        <f>'Working sheet'!J15</f>
        <v>-4698512.6816684091</v>
      </c>
      <c r="J23" s="132">
        <f>'Working sheet'!K15</f>
        <v>-3307474.3157308446</v>
      </c>
      <c r="K23" s="132">
        <f>'Working sheet'!L15</f>
        <v>-601796.2671380369</v>
      </c>
      <c r="L23" s="132">
        <f>'Working sheet'!M15</f>
        <v>-648122.63902067323</v>
      </c>
      <c r="M23" s="132">
        <f>'Working sheet'!N15</f>
        <v>-661519.80211836507</v>
      </c>
    </row>
    <row r="24" spans="1:13">
      <c r="A24" s="126"/>
      <c r="B24" s="126"/>
      <c r="C24" s="132"/>
      <c r="D24" s="133"/>
      <c r="E24" s="133"/>
      <c r="F24" s="133"/>
      <c r="G24" s="133"/>
      <c r="H24" s="133"/>
      <c r="I24" s="133"/>
      <c r="J24" s="133"/>
      <c r="K24" s="133"/>
      <c r="L24" s="133"/>
      <c r="M24" s="133"/>
    </row>
    <row r="25" spans="1:13" s="77" customFormat="1">
      <c r="A25" s="129">
        <v>4</v>
      </c>
      <c r="B25" s="129" t="s">
        <v>169</v>
      </c>
      <c r="C25" s="138"/>
      <c r="D25" s="138">
        <f t="shared" ref="D25:M25" si="9">+D9+D20</f>
        <v>109943880.43250208</v>
      </c>
      <c r="E25" s="138">
        <f>+E9+E20</f>
        <v>138474418.61480266</v>
      </c>
      <c r="F25" s="138">
        <f t="shared" si="9"/>
        <v>155797404.85493246</v>
      </c>
      <c r="G25" s="138">
        <f t="shared" si="9"/>
        <v>165871081.26215926</v>
      </c>
      <c r="H25" s="138">
        <f t="shared" si="9"/>
        <v>296748268.61784577</v>
      </c>
      <c r="I25" s="138">
        <f t="shared" si="9"/>
        <v>316971736.2552557</v>
      </c>
      <c r="J25" s="138">
        <f t="shared" si="9"/>
        <v>347640162.96138901</v>
      </c>
      <c r="K25" s="138">
        <f t="shared" si="9"/>
        <v>350090584.47474128</v>
      </c>
      <c r="L25" s="138">
        <f t="shared" si="9"/>
        <v>355319187.9652974</v>
      </c>
      <c r="M25" s="138">
        <f t="shared" si="9"/>
        <v>360647138.12302071</v>
      </c>
    </row>
    <row r="26" spans="1:13">
      <c r="A26" s="126"/>
      <c r="B26" s="126"/>
      <c r="C26" s="132"/>
      <c r="D26" s="132"/>
      <c r="E26" s="139"/>
      <c r="F26" s="132"/>
      <c r="G26" s="132"/>
      <c r="H26" s="132"/>
      <c r="I26" s="132"/>
      <c r="J26" s="132"/>
      <c r="K26" s="132"/>
      <c r="L26" s="132"/>
      <c r="M26" s="132"/>
    </row>
    <row r="27" spans="1:13">
      <c r="A27" s="126">
        <v>5</v>
      </c>
      <c r="B27" s="128" t="s">
        <v>170</v>
      </c>
      <c r="C27" s="132"/>
      <c r="D27" s="132"/>
      <c r="E27" s="132"/>
      <c r="F27" s="132"/>
      <c r="G27" s="132"/>
      <c r="H27" s="132"/>
      <c r="I27" s="132"/>
      <c r="J27" s="132"/>
      <c r="K27" s="132"/>
      <c r="L27" s="132"/>
      <c r="M27" s="132"/>
    </row>
    <row r="28" spans="1:13">
      <c r="A28" s="126"/>
      <c r="B28" s="126" t="s">
        <v>5</v>
      </c>
      <c r="C28" s="78">
        <f>D28/D$33</f>
        <v>0.83238243625629571</v>
      </c>
      <c r="D28" s="132">
        <f>'Opex Total(84 KTPA)'!D5/2*D8</f>
        <v>59354400</v>
      </c>
      <c r="E28" s="132">
        <f>'Opex Total(84 KTPA)'!E5/2*E8</f>
        <v>80326288</v>
      </c>
      <c r="F28" s="132">
        <f>'Opex Total(84 KTPA)'!F5/2*F8</f>
        <v>91722580.110000014</v>
      </c>
      <c r="G28" s="132">
        <f>'Opex Total(84 KTPA)'!G5/2*G8</f>
        <v>98270553.190074995</v>
      </c>
      <c r="H28" s="132">
        <f>'Opex Total(84 KTPA)'!H5*H8</f>
        <v>161691264.93832237</v>
      </c>
      <c r="I28" s="132">
        <f>'Opex Total(84 KTPA)'!I5*I8</f>
        <v>187561867.32845393</v>
      </c>
      <c r="J28" s="132">
        <f>'Opex Total(84 KTPA)'!J5*J8</f>
        <v>205518784.74029735</v>
      </c>
      <c r="K28" s="132">
        <f>'Opex Total(84 KTPA)'!K5*K8</f>
        <v>208601566.5114018</v>
      </c>
      <c r="L28" s="132">
        <f>'Opex Total(84 KTPA)'!L5*L8</f>
        <v>211730590.00907284</v>
      </c>
      <c r="M28" s="132">
        <f>'Opex Total(84 KTPA)'!M5*M8</f>
        <v>214906548.85920894</v>
      </c>
    </row>
    <row r="29" spans="1:13">
      <c r="A29" s="126"/>
      <c r="B29" s="126" t="s">
        <v>171</v>
      </c>
      <c r="C29" s="78">
        <f t="shared" ref="C29:C31" si="10">D29/D$33</f>
        <v>1.0770384521532273E-2</v>
      </c>
      <c r="D29" s="132">
        <f>'Opex Total(84 KTPA)'!D7/2*D8</f>
        <v>768000</v>
      </c>
      <c r="E29" s="132">
        <f>'Opex Total(84 KTPA)'!E7/2*E8</f>
        <v>1105920</v>
      </c>
      <c r="F29" s="132">
        <f>'Opex Total(84 KTPA)'!F7/2*F8</f>
        <v>1343692.8</v>
      </c>
      <c r="G29" s="132">
        <f>'Opex Total(84 KTPA)'!G7/2*G8</f>
        <v>1531809.7920000001</v>
      </c>
      <c r="H29" s="132">
        <f>'Opex Total(84 KTPA)'!H7*H8</f>
        <v>2681795.8379519996</v>
      </c>
      <c r="I29" s="132">
        <f>'Opex Total(84 KTPA)'!I7*I8</f>
        <v>3310102.2914150399</v>
      </c>
      <c r="J29" s="132">
        <f>'Opex Total(84 KTPA)'!J7</f>
        <v>4062398.2667366401</v>
      </c>
      <c r="K29" s="132">
        <f>'Opex Total(84 KTPA)'!K7*K8</f>
        <v>4168020.6216717921</v>
      </c>
      <c r="L29" s="132">
        <f>'Opex Total(84 KTPA)'!L7*L8</f>
        <v>4501462.2714055358</v>
      </c>
      <c r="M29" s="132">
        <f>'Opex Total(84 KTPA)'!M7*M8</f>
        <v>4861579.2531179786</v>
      </c>
    </row>
    <row r="30" spans="1:13">
      <c r="A30" s="126"/>
      <c r="B30" s="126" t="s">
        <v>172</v>
      </c>
      <c r="C30" s="78">
        <f t="shared" si="10"/>
        <v>8.569865895743102E-2</v>
      </c>
      <c r="D30" s="132">
        <f>'Opex Total(84 KTPA)'!D9/2</f>
        <v>6110883.9659090908</v>
      </c>
      <c r="E30" s="132">
        <f>'Opex Total(84 KTPA)'!E9/2</f>
        <v>6214991.1404829547</v>
      </c>
      <c r="F30" s="132">
        <f>'Opex Total(84 KTPA)'!F9/2</f>
        <v>6320954.0772389919</v>
      </c>
      <c r="G30" s="132">
        <f>'Opex Total(84 KTPA)'!G9/2</f>
        <v>6428807.0616544783</v>
      </c>
      <c r="H30" s="132">
        <f>'Opex Total(84 KTPA)'!H9</f>
        <v>13077170.05908832</v>
      </c>
      <c r="I30" s="132">
        <f>'Opex Total(84 KTPA)'!I9</f>
        <v>13300647.159249684</v>
      </c>
      <c r="J30" s="132">
        <f>'Opex Total(84 KTPA)'!J9</f>
        <v>13528117.972651521</v>
      </c>
      <c r="K30" s="132">
        <f>'Opex Total(84 KTPA)'!K9</f>
        <v>13759656.425699104</v>
      </c>
      <c r="L30" s="132">
        <f>'Opex Total(84 KTPA)'!L9</f>
        <v>13995337.848977569</v>
      </c>
      <c r="M30" s="132">
        <f>'Opex Total(84 KTPA)'!M9</f>
        <v>14235239.004406162</v>
      </c>
    </row>
    <row r="31" spans="1:13">
      <c r="A31" s="126"/>
      <c r="B31" s="126" t="s">
        <v>173</v>
      </c>
      <c r="C31" s="78">
        <f t="shared" si="10"/>
        <v>6.1576272640956938E-3</v>
      </c>
      <c r="D31" s="132">
        <f>'Opex Segmental(84 KTPA)'!$D$13*'Cash Flow Epoxy Resin'!D8/2</f>
        <v>439079.74960142863</v>
      </c>
      <c r="E31" s="132">
        <f>'Opex Segmental(84 KTPA)'!$D$13*'Cash Flow Epoxy Resin'!E8/2</f>
        <v>585439.66613523825</v>
      </c>
      <c r="F31" s="132">
        <f>'Opex Segmental(84 KTPA)'!$D$13*'Cash Flow Epoxy Resin'!F8/2</f>
        <v>658619.62440214294</v>
      </c>
      <c r="G31" s="132">
        <f>'Opex Segmental(84 KTPA)'!$D$13*'Cash Flow Epoxy Resin'!G8/2</f>
        <v>695209.60353559535</v>
      </c>
      <c r="H31" s="132">
        <f>'Opex Segmental(84 KTPA)'!$D$13*'Cash Flow Epoxy Resin'!H8</f>
        <v>1126971.3573103335</v>
      </c>
      <c r="I31" s="132">
        <f>'Opex Segmental(84 KTPA)'!$D$13*'Cash Flow Epoxy Resin'!I8</f>
        <v>1287967.2654975241</v>
      </c>
      <c r="J31" s="132">
        <f>'Opex Segmental(84 KTPA)'!$D$13*'Cash Flow Epoxy Resin'!J8</f>
        <v>1390419.2070711907</v>
      </c>
      <c r="K31" s="132">
        <f t="shared" ref="K31:M32" si="11">J31*1.015</f>
        <v>1411275.4951772585</v>
      </c>
      <c r="L31" s="132">
        <f t="shared" si="11"/>
        <v>1432444.6276049172</v>
      </c>
      <c r="M31" s="132">
        <f t="shared" si="11"/>
        <v>1453931.2970189909</v>
      </c>
    </row>
    <row r="32" spans="1:13">
      <c r="A32" s="126"/>
      <c r="B32" s="126" t="s">
        <v>174</v>
      </c>
      <c r="C32" s="78">
        <f>D32/$D$33</f>
        <v>6.4990893000645256E-2</v>
      </c>
      <c r="D32" s="132">
        <f>'Opex Segmental(84 KTPA)'!$D$17*'Cash Flow Epoxy Resin'!D8/2</f>
        <v>4634282.6223807437</v>
      </c>
      <c r="E32" s="132">
        <f>'Opex Segmental(84 KTPA)'!$D$17*'Cash Flow Epoxy Resin'!E8/2</f>
        <v>6179043.4965076586</v>
      </c>
      <c r="F32" s="132">
        <f>'Opex Segmental(84 KTPA)'!$D$17*'Cash Flow Epoxy Resin'!F8/2</f>
        <v>6951423.9335711151</v>
      </c>
      <c r="G32" s="132">
        <f>'Opex Segmental(84 KTPA)'!$D$17*'Cash Flow Epoxy Resin'!G8/2</f>
        <v>7337614.1521028439</v>
      </c>
      <c r="H32" s="132">
        <f>'Opex Segmental(84 KTPA)'!$D$17*'Cash Flow Epoxy Resin'!H8</f>
        <v>11894658.730777241</v>
      </c>
      <c r="I32" s="132">
        <f>'Opex Segmental(84 KTPA)'!$D$17*'Cash Flow Epoxy Resin'!I8</f>
        <v>13593895.692316847</v>
      </c>
      <c r="J32" s="132">
        <f>'Opex Segmental(84 KTPA)'!$D$17*'Cash Flow Epoxy Resin'!J8</f>
        <v>14675228.304205688</v>
      </c>
      <c r="K32" s="132">
        <f t="shared" si="11"/>
        <v>14895356.728768772</v>
      </c>
      <c r="L32" s="132">
        <f t="shared" si="11"/>
        <v>15118787.079700302</v>
      </c>
      <c r="M32" s="132">
        <f t="shared" si="11"/>
        <v>15345568.885895805</v>
      </c>
    </row>
    <row r="33" spans="1:13" s="77" customFormat="1">
      <c r="A33" s="128"/>
      <c r="B33" s="128" t="s">
        <v>62</v>
      </c>
      <c r="C33" s="135"/>
      <c r="D33" s="135">
        <f t="shared" ref="D33:M33" si="12">SUM(D28:D32)</f>
        <v>71306646.337891266</v>
      </c>
      <c r="E33" s="135">
        <f t="shared" si="12"/>
        <v>94411682.303125858</v>
      </c>
      <c r="F33" s="135">
        <f t="shared" si="12"/>
        <v>106997270.54521225</v>
      </c>
      <c r="G33" s="135">
        <f t="shared" si="12"/>
        <v>114263993.7993679</v>
      </c>
      <c r="H33" s="135">
        <f t="shared" si="12"/>
        <v>190471860.92345023</v>
      </c>
      <c r="I33" s="135">
        <f t="shared" si="12"/>
        <v>219054479.73693305</v>
      </c>
      <c r="J33" s="135">
        <f t="shared" si="12"/>
        <v>239174948.49096236</v>
      </c>
      <c r="K33" s="135">
        <f t="shared" si="12"/>
        <v>242835875.78271875</v>
      </c>
      <c r="L33" s="135">
        <f t="shared" si="12"/>
        <v>246778621.83676118</v>
      </c>
      <c r="M33" s="135">
        <f t="shared" si="12"/>
        <v>250802867.2996479</v>
      </c>
    </row>
    <row r="34" spans="1:13">
      <c r="A34" s="126"/>
      <c r="B34" s="126"/>
      <c r="C34" s="132"/>
      <c r="D34" s="132"/>
      <c r="E34" s="132"/>
      <c r="F34" s="132"/>
      <c r="G34" s="132"/>
      <c r="H34" s="132"/>
      <c r="I34" s="132"/>
      <c r="J34" s="132"/>
      <c r="K34" s="132"/>
      <c r="L34" s="132"/>
      <c r="M34" s="132"/>
    </row>
    <row r="35" spans="1:13" s="77" customFormat="1">
      <c r="A35" s="130">
        <v>6</v>
      </c>
      <c r="B35" s="130" t="s">
        <v>63</v>
      </c>
      <c r="C35" s="140"/>
      <c r="D35" s="140">
        <f t="shared" ref="D35:M35" si="13">D9-D33</f>
        <v>28149155.422108725</v>
      </c>
      <c r="E35" s="140">
        <f t="shared" si="13"/>
        <v>40185169.412074149</v>
      </c>
      <c r="F35" s="140">
        <f t="shared" si="13"/>
        <v>46695509.507081732</v>
      </c>
      <c r="G35" s="140">
        <f t="shared" si="13"/>
        <v>50400743.051103711</v>
      </c>
      <c r="H35" s="140">
        <f t="shared" si="13"/>
        <v>93008699.71246618</v>
      </c>
      <c r="I35" s="140">
        <f t="shared" si="13"/>
        <v>95206687.170661747</v>
      </c>
      <c r="J35" s="140">
        <f t="shared" si="13"/>
        <v>105173153.99841073</v>
      </c>
      <c r="K35" s="140">
        <f t="shared" si="13"/>
        <v>106702423.7499769</v>
      </c>
      <c r="L35" s="140">
        <f t="shared" si="13"/>
        <v>108002752.18892485</v>
      </c>
      <c r="M35" s="140">
        <f t="shared" si="13"/>
        <v>109300227.33642343</v>
      </c>
    </row>
    <row r="36" spans="1:13">
      <c r="A36" s="126"/>
      <c r="B36" s="126"/>
      <c r="C36" s="132"/>
      <c r="D36" s="132"/>
      <c r="E36" s="132"/>
      <c r="F36" s="132"/>
      <c r="G36" s="132"/>
      <c r="H36" s="132"/>
      <c r="I36" s="132"/>
      <c r="J36" s="132"/>
      <c r="K36" s="132"/>
      <c r="L36" s="132"/>
      <c r="M36" s="132"/>
    </row>
    <row r="37" spans="1:13">
      <c r="A37" s="126">
        <v>7</v>
      </c>
      <c r="B37" s="126" t="s">
        <v>64</v>
      </c>
      <c r="C37" s="132"/>
      <c r="D37" s="132">
        <f>C5/10</f>
        <v>-3577145.4480000003</v>
      </c>
      <c r="E37" s="132">
        <f>D37</f>
        <v>-3577145.4480000003</v>
      </c>
      <c r="F37" s="132">
        <f t="shared" ref="F37:M37" si="14">E37</f>
        <v>-3577145.4480000003</v>
      </c>
      <c r="G37" s="132">
        <f t="shared" si="14"/>
        <v>-3577145.4480000003</v>
      </c>
      <c r="H37" s="132">
        <f t="shared" si="14"/>
        <v>-3577145.4480000003</v>
      </c>
      <c r="I37" s="132">
        <f t="shared" si="14"/>
        <v>-3577145.4480000003</v>
      </c>
      <c r="J37" s="132">
        <f t="shared" si="14"/>
        <v>-3577145.4480000003</v>
      </c>
      <c r="K37" s="132">
        <f t="shared" si="14"/>
        <v>-3577145.4480000003</v>
      </c>
      <c r="L37" s="132">
        <f t="shared" si="14"/>
        <v>-3577145.4480000003</v>
      </c>
      <c r="M37" s="132">
        <f t="shared" si="14"/>
        <v>-3577145.4480000003</v>
      </c>
    </row>
    <row r="38" spans="1:13">
      <c r="A38" s="126"/>
      <c r="B38" s="126"/>
      <c r="C38" s="132"/>
      <c r="D38" s="132"/>
      <c r="E38" s="132"/>
      <c r="F38" s="132"/>
      <c r="G38" s="132"/>
      <c r="H38" s="132"/>
      <c r="I38" s="132"/>
      <c r="J38" s="132"/>
      <c r="K38" s="132"/>
      <c r="L38" s="132"/>
      <c r="M38" s="132"/>
    </row>
    <row r="39" spans="1:13">
      <c r="A39" s="126">
        <v>8</v>
      </c>
      <c r="B39" s="126" t="s">
        <v>175</v>
      </c>
      <c r="C39" s="78">
        <v>0.3</v>
      </c>
      <c r="D39" s="132">
        <f>(D35-D37)*$C$39</f>
        <v>9517890.2610326167</v>
      </c>
      <c r="E39" s="132">
        <f t="shared" ref="E39:M39" si="15">(E35-E37)*$C$39</f>
        <v>13128694.458022244</v>
      </c>
      <c r="F39" s="132">
        <f t="shared" si="15"/>
        <v>15081796.486524519</v>
      </c>
      <c r="G39" s="132">
        <f t="shared" si="15"/>
        <v>16193366.549731113</v>
      </c>
      <c r="H39" s="132">
        <f t="shared" si="15"/>
        <v>28975753.548139852</v>
      </c>
      <c r="I39" s="132">
        <f t="shared" si="15"/>
        <v>29635149.785598524</v>
      </c>
      <c r="J39" s="132">
        <f t="shared" si="15"/>
        <v>32625089.833923217</v>
      </c>
      <c r="K39" s="132">
        <f t="shared" si="15"/>
        <v>33083870.75939307</v>
      </c>
      <c r="L39" s="132">
        <f t="shared" si="15"/>
        <v>33473969.291077454</v>
      </c>
      <c r="M39" s="132">
        <f t="shared" si="15"/>
        <v>33863211.835327029</v>
      </c>
    </row>
    <row r="40" spans="1:13">
      <c r="A40" s="126"/>
      <c r="B40" s="126"/>
      <c r="C40" s="132"/>
      <c r="D40" s="132"/>
      <c r="E40" s="132"/>
      <c r="F40" s="132"/>
      <c r="G40" s="132"/>
      <c r="H40" s="132"/>
      <c r="I40" s="132"/>
      <c r="J40" s="132"/>
      <c r="K40" s="132"/>
      <c r="L40" s="132"/>
      <c r="M40" s="132"/>
    </row>
    <row r="41" spans="1:13" s="77" customFormat="1">
      <c r="A41" s="129"/>
      <c r="B41" s="129" t="s">
        <v>65</v>
      </c>
      <c r="C41" s="138">
        <f>C6</f>
        <v>-35771454.480000004</v>
      </c>
      <c r="D41" s="138">
        <f>D35-D37-D39</f>
        <v>22208410.609076105</v>
      </c>
      <c r="E41" s="138">
        <f t="shared" ref="E41:K41" si="16">E35-E37-E39</f>
        <v>30633620.402051903</v>
      </c>
      <c r="F41" s="138">
        <f t="shared" si="16"/>
        <v>35190858.468557209</v>
      </c>
      <c r="G41" s="138">
        <f t="shared" si="16"/>
        <v>37784521.949372597</v>
      </c>
      <c r="H41" s="138">
        <f t="shared" si="16"/>
        <v>67610091.612326324</v>
      </c>
      <c r="I41" s="138">
        <f t="shared" si="16"/>
        <v>69148682.833063215</v>
      </c>
      <c r="J41" s="138">
        <f t="shared" si="16"/>
        <v>76125209.61248751</v>
      </c>
      <c r="K41" s="138">
        <f t="shared" si="16"/>
        <v>77195698.438583836</v>
      </c>
      <c r="L41" s="138">
        <f>L35-L37-L39</f>
        <v>78105928.345847398</v>
      </c>
      <c r="M41" s="138">
        <f>M35-M37-M39</f>
        <v>79014160.949096397</v>
      </c>
    </row>
    <row r="42" spans="1:13">
      <c r="A42" s="126"/>
      <c r="B42" s="126"/>
      <c r="C42" s="132"/>
      <c r="D42" s="132"/>
      <c r="E42" s="132"/>
      <c r="F42" s="132"/>
      <c r="G42" s="132"/>
      <c r="H42" s="132"/>
      <c r="I42" s="132"/>
      <c r="J42" s="132"/>
      <c r="K42" s="132"/>
      <c r="L42" s="132"/>
      <c r="M42" s="132"/>
    </row>
    <row r="43" spans="1:13">
      <c r="A43" s="126"/>
      <c r="B43" s="126" t="s">
        <v>256</v>
      </c>
      <c r="C43" s="132">
        <v>1</v>
      </c>
      <c r="D43" s="141">
        <f>C43/(1+0.1)</f>
        <v>0.90909090909090906</v>
      </c>
      <c r="E43" s="141">
        <f>D43/(1+0.1)</f>
        <v>0.82644628099173545</v>
      </c>
      <c r="F43" s="141">
        <f t="shared" ref="F43:M43" si="17">E43/(1+0.1)</f>
        <v>0.75131480090157765</v>
      </c>
      <c r="G43" s="141">
        <f t="shared" si="17"/>
        <v>0.68301345536507052</v>
      </c>
      <c r="H43" s="141">
        <f t="shared" si="17"/>
        <v>0.62092132305915493</v>
      </c>
      <c r="I43" s="141">
        <f t="shared" si="17"/>
        <v>0.56447393005377711</v>
      </c>
      <c r="J43" s="141">
        <f t="shared" si="17"/>
        <v>0.51315811823070645</v>
      </c>
      <c r="K43" s="141">
        <f t="shared" si="17"/>
        <v>0.46650738020973309</v>
      </c>
      <c r="L43" s="141">
        <f t="shared" si="17"/>
        <v>0.42409761837248461</v>
      </c>
      <c r="M43" s="141">
        <f t="shared" si="17"/>
        <v>0.38554328942953142</v>
      </c>
    </row>
    <row r="44" spans="1:13">
      <c r="A44" s="126"/>
      <c r="B44" s="126" t="s">
        <v>176</v>
      </c>
      <c r="C44" s="142">
        <f t="shared" ref="C44:M44" si="18">C41*C43</f>
        <v>-35771454.480000004</v>
      </c>
      <c r="D44" s="142">
        <f>D41*D43</f>
        <v>20189464.190069187</v>
      </c>
      <c r="E44" s="142">
        <f t="shared" si="18"/>
        <v>25317041.654588345</v>
      </c>
      <c r="F44" s="142">
        <f t="shared" si="18"/>
        <v>26439412.823859658</v>
      </c>
      <c r="G44" s="142">
        <f t="shared" si="18"/>
        <v>25807336.895958327</v>
      </c>
      <c r="H44" s="142">
        <f t="shared" si="18"/>
        <v>41980547.536076337</v>
      </c>
      <c r="I44" s="142">
        <f t="shared" si="18"/>
        <v>39032628.756821342</v>
      </c>
      <c r="J44" s="142">
        <f t="shared" si="18"/>
        <v>39064269.314662173</v>
      </c>
      <c r="K44" s="142">
        <f t="shared" si="18"/>
        <v>36012363.042044327</v>
      </c>
      <c r="L44" s="142">
        <f t="shared" si="18"/>
        <v>33124538.192245819</v>
      </c>
      <c r="M44" s="142">
        <f t="shared" si="18"/>
        <v>30463379.52382905</v>
      </c>
    </row>
    <row r="45" spans="1:13">
      <c r="A45" s="126"/>
      <c r="B45" s="126" t="s">
        <v>177</v>
      </c>
      <c r="C45" s="142">
        <f>C41</f>
        <v>-35771454.480000004</v>
      </c>
      <c r="D45" s="142">
        <f>D41</f>
        <v>22208410.609076105</v>
      </c>
      <c r="E45" s="142">
        <f t="shared" ref="E45:M45" si="19">E41</f>
        <v>30633620.402051903</v>
      </c>
      <c r="F45" s="142">
        <f t="shared" si="19"/>
        <v>35190858.468557209</v>
      </c>
      <c r="G45" s="142">
        <f t="shared" si="19"/>
        <v>37784521.949372597</v>
      </c>
      <c r="H45" s="142">
        <f t="shared" si="19"/>
        <v>67610091.612326324</v>
      </c>
      <c r="I45" s="142">
        <f t="shared" si="19"/>
        <v>69148682.833063215</v>
      </c>
      <c r="J45" s="142">
        <f t="shared" si="19"/>
        <v>76125209.61248751</v>
      </c>
      <c r="K45" s="142">
        <f t="shared" si="19"/>
        <v>77195698.438583836</v>
      </c>
      <c r="L45" s="142">
        <f t="shared" si="19"/>
        <v>78105928.345847398</v>
      </c>
      <c r="M45" s="142">
        <f t="shared" si="19"/>
        <v>79014160.949096397</v>
      </c>
    </row>
    <row r="46" spans="1:13">
      <c r="A46" s="126"/>
      <c r="B46" s="126" t="s">
        <v>178</v>
      </c>
      <c r="C46" s="142">
        <f>C45</f>
        <v>-35771454.480000004</v>
      </c>
      <c r="D46" s="142">
        <f>C45+D41</f>
        <v>-13563043.870923899</v>
      </c>
      <c r="E46" s="142">
        <f>D46+E41</f>
        <v>17070576.531128004</v>
      </c>
      <c r="F46" s="142">
        <f t="shared" ref="F46:M46" si="20">E46+F41</f>
        <v>52261434.999685213</v>
      </c>
      <c r="G46" s="142">
        <f t="shared" si="20"/>
        <v>90045956.949057817</v>
      </c>
      <c r="H46" s="142">
        <f t="shared" si="20"/>
        <v>157656048.56138414</v>
      </c>
      <c r="I46" s="142">
        <f t="shared" si="20"/>
        <v>226804731.39444736</v>
      </c>
      <c r="J46" s="142">
        <f t="shared" si="20"/>
        <v>302929941.00693488</v>
      </c>
      <c r="K46" s="142">
        <f t="shared" si="20"/>
        <v>380125639.44551873</v>
      </c>
      <c r="L46" s="142">
        <f t="shared" si="20"/>
        <v>458231567.7913661</v>
      </c>
      <c r="M46" s="142">
        <f t="shared" si="20"/>
        <v>537245728.74046254</v>
      </c>
    </row>
    <row r="47" spans="1:13">
      <c r="A47" s="126"/>
      <c r="B47" s="126"/>
      <c r="C47" s="132"/>
      <c r="D47" s="142"/>
      <c r="E47" s="142"/>
      <c r="F47" s="142"/>
      <c r="G47" s="142"/>
      <c r="H47" s="142"/>
      <c r="I47" s="142"/>
      <c r="J47" s="142"/>
      <c r="K47" s="142"/>
      <c r="L47" s="142"/>
      <c r="M47" s="142"/>
    </row>
    <row r="48" spans="1:13" ht="15.75" thickBot="1">
      <c r="A48" s="126"/>
      <c r="B48" s="143"/>
      <c r="C48" s="144"/>
      <c r="D48" s="142"/>
      <c r="E48" s="142"/>
      <c r="F48" s="142"/>
      <c r="G48" s="142"/>
      <c r="H48" s="142"/>
      <c r="I48" s="142"/>
      <c r="J48" s="142"/>
      <c r="K48" s="142"/>
      <c r="L48" s="142"/>
      <c r="M48" s="142"/>
    </row>
    <row r="49" spans="1:13">
      <c r="A49" s="131"/>
      <c r="B49" s="145" t="s">
        <v>179</v>
      </c>
      <c r="C49" s="188">
        <f>NPV(10%,(D41:M41))+C41</f>
        <v>281659527.45015454</v>
      </c>
      <c r="D49" s="146"/>
      <c r="E49" s="132"/>
      <c r="F49" s="132"/>
      <c r="G49" s="132"/>
      <c r="H49" s="132"/>
      <c r="I49" s="132"/>
      <c r="J49" s="132"/>
      <c r="K49" s="132"/>
      <c r="L49" s="132"/>
      <c r="M49" s="132"/>
    </row>
    <row r="50" spans="1:13">
      <c r="A50" s="131"/>
      <c r="B50" s="147" t="s">
        <v>67</v>
      </c>
      <c r="C50" s="189">
        <f>IRR(C41:M41,0.1)</f>
        <v>0.86634025948663274</v>
      </c>
      <c r="D50" s="146"/>
      <c r="E50" s="132"/>
      <c r="F50" s="132"/>
      <c r="G50" s="132"/>
      <c r="H50" s="132"/>
      <c r="I50" s="132"/>
      <c r="J50" s="132"/>
      <c r="K50" s="132"/>
      <c r="L50" s="132"/>
      <c r="M50" s="132"/>
    </row>
    <row r="51" spans="1:13" ht="15.75" thickBot="1">
      <c r="A51" s="131"/>
      <c r="B51" s="148" t="s">
        <v>180</v>
      </c>
      <c r="C51" s="190">
        <f>IF(SUM(D54:M54)&lt;10,SUM(D54:M54)," N/A ")</f>
        <v>1.4427502754462354</v>
      </c>
      <c r="D51" s="146"/>
      <c r="E51" s="132"/>
      <c r="F51" s="132"/>
      <c r="G51" s="132"/>
      <c r="H51" s="132"/>
      <c r="I51" s="132"/>
      <c r="J51" s="132"/>
      <c r="K51" s="132"/>
      <c r="L51" s="132"/>
      <c r="M51" s="132"/>
    </row>
    <row r="52" spans="1:13">
      <c r="C52" s="149"/>
      <c r="D52" s="79">
        <v>1</v>
      </c>
      <c r="E52" s="79">
        <v>2</v>
      </c>
      <c r="F52" s="79">
        <v>3</v>
      </c>
      <c r="G52" s="79">
        <v>4</v>
      </c>
      <c r="H52" s="79">
        <v>5</v>
      </c>
      <c r="I52" s="79">
        <v>6</v>
      </c>
      <c r="J52" s="79">
        <v>7</v>
      </c>
      <c r="K52" s="79">
        <v>8</v>
      </c>
      <c r="L52" s="79">
        <v>9</v>
      </c>
      <c r="M52" s="79">
        <v>10</v>
      </c>
    </row>
    <row r="53" spans="1:13">
      <c r="C53" s="80"/>
      <c r="D53" s="196">
        <f t="shared" ref="D53:M53" si="21">IF(D46&lt;0,1,IF(D45=0,0,-C46/D45))</f>
        <v>1</v>
      </c>
      <c r="E53" s="81">
        <f t="shared" si="21"/>
        <v>0.44275027544623546</v>
      </c>
      <c r="F53" s="81">
        <f t="shared" si="21"/>
        <v>-0.48508553851792069</v>
      </c>
      <c r="G53" s="81">
        <f t="shared" si="21"/>
        <v>-1.3831440045664785</v>
      </c>
      <c r="H53" s="81">
        <f t="shared" si="21"/>
        <v>-1.3318419603005109</v>
      </c>
      <c r="I53" s="81">
        <f t="shared" si="21"/>
        <v>-2.2799573629188701</v>
      </c>
      <c r="J53" s="81">
        <f t="shared" si="21"/>
        <v>-2.9793642940228109</v>
      </c>
      <c r="K53" s="81">
        <f t="shared" si="21"/>
        <v>-3.9241816206630098</v>
      </c>
      <c r="L53" s="81">
        <f t="shared" si="21"/>
        <v>-4.8667962534463438</v>
      </c>
      <c r="M53" s="81">
        <f t="shared" si="21"/>
        <v>-5.7993600423925837</v>
      </c>
    </row>
    <row r="54" spans="1:13">
      <c r="D54" s="197">
        <f t="shared" ref="D54:M54" si="22">IF(D53&gt;0,D53,0)</f>
        <v>1</v>
      </c>
      <c r="E54" s="82">
        <f t="shared" si="22"/>
        <v>0.44275027544623546</v>
      </c>
      <c r="F54" s="82">
        <f t="shared" si="22"/>
        <v>0</v>
      </c>
      <c r="G54" s="82">
        <f t="shared" si="22"/>
        <v>0</v>
      </c>
      <c r="H54" s="82">
        <f t="shared" si="22"/>
        <v>0</v>
      </c>
      <c r="I54" s="82">
        <f t="shared" si="22"/>
        <v>0</v>
      </c>
      <c r="J54" s="82">
        <f t="shared" si="22"/>
        <v>0</v>
      </c>
      <c r="K54" s="82">
        <f t="shared" si="22"/>
        <v>0</v>
      </c>
      <c r="L54" s="82">
        <f t="shared" si="22"/>
        <v>0</v>
      </c>
      <c r="M54" s="82">
        <f t="shared" si="22"/>
        <v>0</v>
      </c>
    </row>
    <row r="55" spans="1:13">
      <c r="A55" s="88"/>
      <c r="B55" t="s">
        <v>274</v>
      </c>
      <c r="D55" s="197"/>
      <c r="E55" s="82"/>
      <c r="F55" s="82"/>
      <c r="G55" s="82"/>
      <c r="H55" s="82"/>
      <c r="I55" s="82"/>
      <c r="J55" s="82"/>
      <c r="K55" s="82"/>
      <c r="L55" s="82"/>
      <c r="M55" s="82"/>
    </row>
    <row r="56" spans="1:13">
      <c r="B56" t="s">
        <v>243</v>
      </c>
    </row>
    <row r="57" spans="1:13">
      <c r="B57" t="s">
        <v>244</v>
      </c>
    </row>
    <row r="58" spans="1:13">
      <c r="B58" t="s">
        <v>245</v>
      </c>
      <c r="H58" s="83"/>
      <c r="I58" s="83"/>
      <c r="J58" s="83"/>
      <c r="K58" s="83"/>
      <c r="L58" s="83"/>
      <c r="M58" s="83"/>
    </row>
    <row r="59" spans="1:13">
      <c r="A59" s="88"/>
      <c r="B59" t="s">
        <v>250</v>
      </c>
      <c r="H59" s="83"/>
      <c r="I59" s="83"/>
      <c r="J59" s="83"/>
      <c r="K59" s="83"/>
      <c r="L59" s="83"/>
      <c r="M59" s="83"/>
    </row>
    <row r="60" spans="1:13">
      <c r="A60" s="88"/>
      <c r="B60" t="s">
        <v>249</v>
      </c>
      <c r="H60" s="83"/>
      <c r="I60" s="83"/>
      <c r="J60" s="83"/>
      <c r="K60" s="83"/>
      <c r="L60" s="83"/>
      <c r="M60" s="83"/>
    </row>
    <row r="61" spans="1:13">
      <c r="B61" t="s">
        <v>247</v>
      </c>
    </row>
    <row r="62" spans="1:13">
      <c r="C62" s="2" t="s">
        <v>258</v>
      </c>
      <c r="D62" s="181">
        <v>0.53</v>
      </c>
      <c r="F62" s="172"/>
      <c r="G62" s="172"/>
    </row>
    <row r="63" spans="1:13">
      <c r="C63" s="2" t="s">
        <v>259</v>
      </c>
      <c r="D63" s="181">
        <v>0.24</v>
      </c>
      <c r="F63" s="172"/>
      <c r="G63" s="172"/>
    </row>
    <row r="64" spans="1:13">
      <c r="C64" s="2" t="s">
        <v>260</v>
      </c>
      <c r="D64" s="181">
        <v>0.23</v>
      </c>
      <c r="G64" s="172"/>
    </row>
    <row r="66" spans="2:12">
      <c r="B66" t="s">
        <v>252</v>
      </c>
    </row>
    <row r="67" spans="2:12">
      <c r="B67" t="s">
        <v>253</v>
      </c>
    </row>
    <row r="68" spans="2:12">
      <c r="B68" t="s">
        <v>251</v>
      </c>
      <c r="E68" s="281"/>
      <c r="F68" s="281"/>
      <c r="G68" s="281"/>
      <c r="H68" s="281"/>
      <c r="I68" s="281"/>
      <c r="J68" s="281"/>
    </row>
    <row r="69" spans="2:12">
      <c r="E69" s="282"/>
      <c r="F69" s="282"/>
      <c r="G69" s="282"/>
      <c r="H69" s="282"/>
      <c r="I69" s="282"/>
      <c r="J69" s="282"/>
    </row>
    <row r="70" spans="2:12">
      <c r="E70" s="83"/>
      <c r="F70" s="83"/>
      <c r="G70" s="84"/>
      <c r="H70" s="84"/>
      <c r="I70" s="84"/>
      <c r="J70" s="84"/>
      <c r="L70" s="84"/>
    </row>
    <row r="71" spans="2:12">
      <c r="E71" s="85"/>
      <c r="F71" s="279"/>
      <c r="G71" s="279"/>
      <c r="H71" s="279"/>
      <c r="I71" s="279"/>
      <c r="J71" s="279"/>
    </row>
    <row r="72" spans="2:12">
      <c r="E72" s="83"/>
      <c r="F72" s="84"/>
      <c r="G72" s="84"/>
      <c r="H72" s="84"/>
      <c r="I72" s="84"/>
      <c r="J72" s="84"/>
      <c r="L72" s="84"/>
    </row>
    <row r="73" spans="2:12">
      <c r="E73" s="83"/>
      <c r="F73" s="83"/>
      <c r="G73" s="83"/>
      <c r="H73" s="83"/>
      <c r="I73" s="83"/>
      <c r="J73" s="83"/>
      <c r="L73" s="83"/>
    </row>
    <row r="74" spans="2:12">
      <c r="E74" s="85"/>
      <c r="F74" s="279"/>
      <c r="G74" s="279"/>
      <c r="H74" s="279"/>
      <c r="I74" s="279"/>
      <c r="J74" s="279"/>
    </row>
    <row r="75" spans="2:12">
      <c r="E75" s="83"/>
      <c r="F75" s="84"/>
      <c r="G75" s="84"/>
      <c r="H75" s="84"/>
      <c r="I75" s="84"/>
      <c r="J75" s="84"/>
      <c r="L75" s="84"/>
    </row>
    <row r="76" spans="2:12">
      <c r="E76" s="83"/>
      <c r="F76" s="83"/>
      <c r="G76" s="83"/>
      <c r="H76" s="83"/>
      <c r="I76" s="83"/>
      <c r="J76" s="83"/>
      <c r="L76" s="83"/>
    </row>
    <row r="77" spans="2:12">
      <c r="E77" s="85"/>
      <c r="F77" s="279"/>
      <c r="G77" s="279"/>
      <c r="H77" s="279"/>
      <c r="I77" s="279"/>
      <c r="J77" s="279"/>
    </row>
    <row r="78" spans="2:12">
      <c r="E78" s="83"/>
      <c r="F78" s="84"/>
      <c r="G78" s="84"/>
      <c r="H78" s="84"/>
      <c r="I78" s="84"/>
      <c r="J78" s="84"/>
      <c r="L78" s="84"/>
    </row>
    <row r="79" spans="2:12">
      <c r="E79" s="83"/>
      <c r="F79" s="83"/>
      <c r="G79" s="83"/>
      <c r="H79" s="83"/>
      <c r="I79" s="83"/>
      <c r="J79" s="83"/>
      <c r="L79" s="83"/>
    </row>
  </sheetData>
  <mergeCells count="6">
    <mergeCell ref="F77:J77"/>
    <mergeCell ref="D2:M2"/>
    <mergeCell ref="E68:J68"/>
    <mergeCell ref="E69:J69"/>
    <mergeCell ref="F71:J71"/>
    <mergeCell ref="F74:J74"/>
  </mergeCells>
  <hyperlinks>
    <hyperlink ref="B49" r:id="rId1" display="NPV@12%" xr:uid="{0BB7C041-A4AB-43FA-B143-B912C3F05368}"/>
  </hyperlinks>
  <pageMargins left="0.7" right="0.7" top="0.75" bottom="0.75" header="0.3" footer="0.3"/>
  <pageSetup orientation="portrait" r:id="rId2"/>
  <ignoredErrors>
    <ignoredError sqref="E12:H12 E14:G14" formula="1"/>
  </ignoredErrors>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0C8401-7663-453E-8EB8-DBA5B6BBAC0E}">
  <dimension ref="A1:O50"/>
  <sheetViews>
    <sheetView zoomScale="91" workbookViewId="0">
      <selection activeCell="D10" sqref="D10"/>
    </sheetView>
  </sheetViews>
  <sheetFormatPr defaultRowHeight="15"/>
  <cols>
    <col min="1" max="1" width="9.28515625" bestFit="1" customWidth="1"/>
    <col min="2" max="2" width="61.85546875" bestFit="1" customWidth="1"/>
    <col min="3" max="3" width="17.5703125" customWidth="1"/>
    <col min="4" max="5" width="13.42578125" bestFit="1" customWidth="1"/>
    <col min="6" max="6" width="11.7109375" bestFit="1" customWidth="1"/>
    <col min="7" max="9" width="13.42578125" bestFit="1" customWidth="1"/>
    <col min="10" max="10" width="16.42578125" bestFit="1" customWidth="1"/>
    <col min="11" max="13" width="11.5703125" bestFit="1" customWidth="1"/>
  </cols>
  <sheetData>
    <row r="1" spans="1:13" ht="15.75" thickBot="1"/>
    <row r="2" spans="1:13" ht="15.75" thickBot="1">
      <c r="A2" s="13"/>
      <c r="B2" s="13"/>
      <c r="C2" s="286" t="s">
        <v>122</v>
      </c>
      <c r="D2" s="287"/>
      <c r="E2" s="287"/>
      <c r="F2" s="287"/>
      <c r="G2" s="287"/>
      <c r="H2" s="287"/>
      <c r="I2" s="287"/>
      <c r="J2" s="287"/>
      <c r="K2" s="287"/>
      <c r="L2" s="287"/>
      <c r="M2" s="287"/>
    </row>
    <row r="3" spans="1:13" ht="15.75" thickBot="1">
      <c r="A3" s="12"/>
      <c r="B3" s="15" t="s">
        <v>53</v>
      </c>
      <c r="C3" s="14" t="s">
        <v>54</v>
      </c>
      <c r="D3" s="283" t="s">
        <v>55</v>
      </c>
      <c r="E3" s="284"/>
      <c r="F3" s="284"/>
      <c r="G3" s="284"/>
      <c r="H3" s="284"/>
      <c r="I3" s="284"/>
      <c r="J3" s="284"/>
      <c r="K3" s="285"/>
    </row>
    <row r="4" spans="1:13" ht="15.75" thickBot="1">
      <c r="A4" s="16" t="s">
        <v>1</v>
      </c>
      <c r="B4" s="16" t="s">
        <v>56</v>
      </c>
      <c r="C4" s="18">
        <v>0</v>
      </c>
      <c r="D4" s="19">
        <v>1</v>
      </c>
      <c r="E4" s="19">
        <v>2</v>
      </c>
      <c r="F4" s="19">
        <v>3</v>
      </c>
      <c r="G4" s="19">
        <v>4</v>
      </c>
      <c r="H4" s="19">
        <v>5</v>
      </c>
      <c r="I4" s="19">
        <v>6</v>
      </c>
      <c r="J4" s="20">
        <v>7</v>
      </c>
      <c r="K4" s="20">
        <v>8</v>
      </c>
      <c r="L4" s="20">
        <v>9</v>
      </c>
      <c r="M4" s="20">
        <v>10</v>
      </c>
    </row>
    <row r="5" spans="1:13" ht="15.75" thickBot="1">
      <c r="A5" s="2"/>
      <c r="B5" s="2"/>
      <c r="C5" s="21"/>
      <c r="D5" s="22"/>
      <c r="E5" s="22"/>
      <c r="F5" s="22"/>
      <c r="G5" s="22"/>
      <c r="H5" s="22"/>
      <c r="I5" s="22"/>
      <c r="J5" s="23"/>
      <c r="K5" s="2"/>
    </row>
    <row r="6" spans="1:13" ht="15.75" thickBot="1">
      <c r="A6" s="2">
        <v>1</v>
      </c>
      <c r="B6" s="2" t="s">
        <v>128</v>
      </c>
      <c r="C6" s="21"/>
      <c r="D6" s="22"/>
      <c r="E6" s="22"/>
      <c r="F6" s="22"/>
      <c r="G6" s="22"/>
      <c r="H6" s="22"/>
      <c r="I6" s="22"/>
      <c r="J6" s="24"/>
      <c r="K6" s="2"/>
    </row>
    <row r="7" spans="1:13" ht="15.75" thickBot="1">
      <c r="A7" s="2"/>
      <c r="B7" s="2" t="s">
        <v>129</v>
      </c>
      <c r="C7" s="54">
        <f>Capex!C20</f>
        <v>35771454.480000004</v>
      </c>
      <c r="D7" s="22"/>
      <c r="E7" s="22"/>
      <c r="F7" s="22"/>
      <c r="G7" s="22"/>
      <c r="H7" s="22"/>
      <c r="I7" s="22"/>
      <c r="J7" s="24"/>
      <c r="K7" s="2"/>
    </row>
    <row r="8" spans="1:13" ht="15.75" thickBot="1">
      <c r="A8" s="2"/>
      <c r="B8" s="2"/>
      <c r="C8" s="57"/>
      <c r="D8" s="71" t="s">
        <v>157</v>
      </c>
      <c r="E8" s="71" t="s">
        <v>158</v>
      </c>
      <c r="F8" s="71" t="s">
        <v>159</v>
      </c>
      <c r="G8" s="71" t="s">
        <v>159</v>
      </c>
      <c r="H8" s="71" t="s">
        <v>160</v>
      </c>
      <c r="I8" s="71" t="s">
        <v>161</v>
      </c>
      <c r="J8" s="71" t="s">
        <v>162</v>
      </c>
      <c r="K8" s="2" t="s">
        <v>168</v>
      </c>
      <c r="L8" s="2" t="s">
        <v>168</v>
      </c>
      <c r="M8" s="2" t="s">
        <v>168</v>
      </c>
    </row>
    <row r="9" spans="1:13" ht="15.75" thickBot="1">
      <c r="A9" s="2">
        <v>2</v>
      </c>
      <c r="B9" s="2" t="s">
        <v>57</v>
      </c>
      <c r="C9" s="21"/>
      <c r="D9" s="58">
        <f>3.03*42000*0.6*1000</f>
        <v>76355999.999999985</v>
      </c>
      <c r="E9" s="58">
        <f>3.08*42000*0.8*1000</f>
        <v>103488000</v>
      </c>
      <c r="F9" s="58">
        <f>3.12*42000*0.95*1000</f>
        <v>124488000</v>
      </c>
      <c r="G9" s="58">
        <f>3.17*42000*0.95*1000</f>
        <v>126483000</v>
      </c>
      <c r="H9" s="58">
        <f>3.22*84000*0.7*1000</f>
        <v>189336000</v>
      </c>
      <c r="I9" s="58">
        <f>3.26*84000*0.8*1000</f>
        <v>219072000</v>
      </c>
      <c r="J9" s="58">
        <f>3.03*84000*0.9*1000</f>
        <v>229067999.99999997</v>
      </c>
      <c r="K9" s="58">
        <f>3.03*84000*0.95*1000</f>
        <v>241793999.99999997</v>
      </c>
      <c r="L9" s="58">
        <f>3.03*84000*0.95*1000</f>
        <v>241793999.99999997</v>
      </c>
      <c r="M9" s="58">
        <f>3.03*84000*0.95*1000</f>
        <v>241793999.99999997</v>
      </c>
    </row>
    <row r="10" spans="1:13" ht="15.75" thickBot="1">
      <c r="A10" s="2"/>
      <c r="B10" s="73" t="s">
        <v>163</v>
      </c>
      <c r="C10" s="21"/>
      <c r="D10" s="58">
        <f>42*0.6</f>
        <v>25.2</v>
      </c>
      <c r="E10" s="58">
        <f>42*0.8</f>
        <v>33.6</v>
      </c>
      <c r="F10" s="58">
        <f>42*0.95</f>
        <v>39.9</v>
      </c>
      <c r="G10" s="58">
        <f>42*0.95</f>
        <v>39.9</v>
      </c>
      <c r="H10" s="58">
        <f>84*0.7</f>
        <v>58.8</v>
      </c>
      <c r="I10" s="58">
        <f>84*0.8</f>
        <v>67.2</v>
      </c>
      <c r="J10" s="58">
        <f>84*0.9</f>
        <v>75.600000000000009</v>
      </c>
      <c r="K10" s="2">
        <f>84*0.95</f>
        <v>79.8</v>
      </c>
      <c r="L10" s="2">
        <f>84*0.95</f>
        <v>79.8</v>
      </c>
      <c r="M10" s="2">
        <f>84*0.95</f>
        <v>79.8</v>
      </c>
    </row>
    <row r="11" spans="1:13" ht="15.75" thickBot="1">
      <c r="A11" s="2"/>
      <c r="B11" s="73" t="s">
        <v>164</v>
      </c>
      <c r="C11" s="21"/>
      <c r="D11" s="72">
        <v>3.03</v>
      </c>
      <c r="E11" s="72">
        <f>D11*1.015</f>
        <v>3.0754499999999996</v>
      </c>
      <c r="F11" s="72">
        <f t="shared" ref="F11:M11" si="0">E11*1.015</f>
        <v>3.1215817499999994</v>
      </c>
      <c r="G11" s="72">
        <f t="shared" si="0"/>
        <v>3.1684054762499989</v>
      </c>
      <c r="H11" s="72">
        <f t="shared" si="0"/>
        <v>3.2159315583937484</v>
      </c>
      <c r="I11" s="72">
        <f t="shared" si="0"/>
        <v>3.2641705317696545</v>
      </c>
      <c r="J11" s="72">
        <f t="shared" si="0"/>
        <v>3.313133089746199</v>
      </c>
      <c r="K11" s="72">
        <f t="shared" si="0"/>
        <v>3.3628300860923916</v>
      </c>
      <c r="L11" s="72">
        <f t="shared" si="0"/>
        <v>3.4132725373837771</v>
      </c>
      <c r="M11" s="72">
        <f t="shared" si="0"/>
        <v>3.4644716254445336</v>
      </c>
    </row>
    <row r="12" spans="1:13" ht="15.75" thickBot="1">
      <c r="A12" s="2"/>
      <c r="B12" s="73"/>
      <c r="C12" s="21"/>
      <c r="D12" s="75"/>
      <c r="E12" s="72"/>
      <c r="F12" s="72"/>
      <c r="G12" s="72"/>
      <c r="H12" s="72"/>
      <c r="I12" s="72"/>
      <c r="J12" s="72"/>
      <c r="K12" s="2"/>
      <c r="L12" s="33"/>
    </row>
    <row r="13" spans="1:13" ht="15.75" thickBot="1">
      <c r="A13" s="2">
        <v>3</v>
      </c>
      <c r="B13" s="63" t="s">
        <v>165</v>
      </c>
      <c r="C13" s="21"/>
      <c r="D13" s="74">
        <f>SUM(D14:D16)</f>
        <v>10488078.672502086</v>
      </c>
      <c r="E13" s="74">
        <f t="shared" ref="E13:M13" si="1">SUM(E14:E16)</f>
        <v>3877566.8996026395</v>
      </c>
      <c r="F13" s="74">
        <f t="shared" si="1"/>
        <v>2104624.8026384846</v>
      </c>
      <c r="G13" s="74">
        <f t="shared" si="1"/>
        <v>1206344.4116876391</v>
      </c>
      <c r="H13" s="74">
        <f t="shared" si="1"/>
        <v>13267707.981929364</v>
      </c>
      <c r="I13" s="74">
        <f t="shared" si="1"/>
        <v>2710569.3476608722</v>
      </c>
      <c r="J13" s="74">
        <f t="shared" si="1"/>
        <v>3292060.4720159406</v>
      </c>
      <c r="K13" s="74">
        <f t="shared" si="1"/>
        <v>552284.94204564951</v>
      </c>
      <c r="L13" s="74">
        <f t="shared" si="1"/>
        <v>537813.93961136881</v>
      </c>
      <c r="M13" s="74">
        <f t="shared" si="1"/>
        <v>544043.48694935965</v>
      </c>
    </row>
    <row r="14" spans="1:13" ht="15.75" thickBot="1">
      <c r="A14" s="2"/>
      <c r="B14" s="2" t="s">
        <v>166</v>
      </c>
      <c r="C14" s="21"/>
      <c r="D14" s="76">
        <f>'Working sheet'!E5</f>
        <v>16348898.919452053</v>
      </c>
      <c r="E14" s="76">
        <f>'Working sheet'!F5</f>
        <v>5776610.9515397288</v>
      </c>
      <c r="F14" s="76">
        <f>'Working sheet'!G5</f>
        <v>3139056.7129469556</v>
      </c>
      <c r="G14" s="76">
        <f>'Working sheet'!H5</f>
        <v>1803609.3366867336</v>
      </c>
      <c r="H14" s="76">
        <f>'Working sheet'!I5</f>
        <v>19531368.293497775</v>
      </c>
      <c r="I14" s="76">
        <f>'Working sheet'!J5</f>
        <v>5059825.6884950772</v>
      </c>
      <c r="J14" s="76">
        <f>'Working sheet'!K5</f>
        <v>4945797.6298813624</v>
      </c>
      <c r="K14" s="76">
        <f>'Working sheet'!L5</f>
        <v>853183.07561466785</v>
      </c>
      <c r="L14" s="76">
        <f>'Working sheet'!M5</f>
        <v>861875.25912170543</v>
      </c>
      <c r="M14" s="76">
        <f>'Working sheet'!N5</f>
        <v>874803.38800854224</v>
      </c>
    </row>
    <row r="15" spans="1:13" ht="15.75" thickBot="1">
      <c r="A15" s="2"/>
      <c r="B15" s="2" t="s">
        <v>58</v>
      </c>
      <c r="C15" s="21"/>
      <c r="D15" s="76">
        <f>'Working sheet'!E10</f>
        <v>5860820.246949967</v>
      </c>
      <c r="E15" s="76">
        <f>'Working sheet'!F10</f>
        <v>1899044.0519370898</v>
      </c>
      <c r="F15" s="76">
        <f>'Working sheet'!G10</f>
        <v>1034431.9103084709</v>
      </c>
      <c r="G15" s="76">
        <f>'Working sheet'!H10</f>
        <v>597264.92499909457</v>
      </c>
      <c r="H15" s="76">
        <f>'Working sheet'!I10</f>
        <v>6263660.3115684101</v>
      </c>
      <c r="I15" s="76">
        <f>'Working sheet'!J10</f>
        <v>2349256.3408342046</v>
      </c>
      <c r="J15" s="76">
        <f>'Working sheet'!K10</f>
        <v>1653737.1578654223</v>
      </c>
      <c r="K15" s="76">
        <f>'Working sheet'!L10</f>
        <v>300898.13356901845</v>
      </c>
      <c r="L15" s="76">
        <f>'Working sheet'!M10</f>
        <v>324061.31951033662</v>
      </c>
      <c r="M15" s="76">
        <f>'Working sheet'!N10</f>
        <v>330759.90105918254</v>
      </c>
    </row>
    <row r="16" spans="1:13" ht="15.75" thickBot="1">
      <c r="A16" s="2"/>
      <c r="B16" s="2" t="s">
        <v>167</v>
      </c>
      <c r="C16" s="21"/>
      <c r="D16" s="76">
        <f>'Working sheet'!E15</f>
        <v>-11721640.493899934</v>
      </c>
      <c r="E16" s="76">
        <f>'Working sheet'!F15</f>
        <v>-3798088.1038741795</v>
      </c>
      <c r="F16" s="76">
        <f>'Working sheet'!G15</f>
        <v>-2068863.8206169419</v>
      </c>
      <c r="G16" s="76">
        <f>'Working sheet'!H15</f>
        <v>-1194529.8499981891</v>
      </c>
      <c r="H16" s="76">
        <f>'Working sheet'!I15</f>
        <v>-12527320.62313682</v>
      </c>
      <c r="I16" s="76">
        <f>'Working sheet'!J15</f>
        <v>-4698512.6816684091</v>
      </c>
      <c r="J16" s="76">
        <f>'Working sheet'!K15</f>
        <v>-3307474.3157308446</v>
      </c>
      <c r="K16" s="76">
        <f>'Working sheet'!L15</f>
        <v>-601796.2671380369</v>
      </c>
      <c r="L16" s="76">
        <f>'Working sheet'!M15</f>
        <v>-648122.63902067323</v>
      </c>
      <c r="M16" s="76">
        <f>'Working sheet'!N15</f>
        <v>-661519.80211836507</v>
      </c>
    </row>
    <row r="17" spans="1:15" ht="15.75" thickBot="1">
      <c r="A17" s="2"/>
      <c r="B17" s="2"/>
      <c r="C17" s="21"/>
      <c r="D17" s="22"/>
      <c r="E17" s="22"/>
      <c r="F17" s="22"/>
      <c r="G17" s="22"/>
      <c r="H17" s="22"/>
      <c r="I17" s="22"/>
      <c r="J17" s="24"/>
      <c r="K17" s="2"/>
    </row>
    <row r="18" spans="1:15" ht="15.75" thickBot="1">
      <c r="A18" s="2">
        <v>4</v>
      </c>
      <c r="B18" s="2" t="s">
        <v>130</v>
      </c>
      <c r="C18" s="59">
        <f>C8</f>
        <v>0</v>
      </c>
      <c r="D18" s="60">
        <f>D9</f>
        <v>76355999.999999985</v>
      </c>
      <c r="E18" s="60">
        <f>E9</f>
        <v>103488000</v>
      </c>
      <c r="F18" s="26">
        <f t="shared" ref="F18:M18" si="2">F9</f>
        <v>124488000</v>
      </c>
      <c r="G18" s="26">
        <f t="shared" si="2"/>
        <v>126483000</v>
      </c>
      <c r="H18" s="26">
        <f t="shared" si="2"/>
        <v>189336000</v>
      </c>
      <c r="I18" s="26">
        <f t="shared" si="2"/>
        <v>219072000</v>
      </c>
      <c r="J18" s="26">
        <f t="shared" si="2"/>
        <v>229067999.99999997</v>
      </c>
      <c r="K18" s="26">
        <f t="shared" si="2"/>
        <v>241793999.99999997</v>
      </c>
      <c r="L18" s="26">
        <f t="shared" si="2"/>
        <v>241793999.99999997</v>
      </c>
      <c r="M18" s="26">
        <f t="shared" si="2"/>
        <v>241793999.99999997</v>
      </c>
    </row>
    <row r="19" spans="1:15" ht="15.75" thickBot="1">
      <c r="A19" s="2"/>
      <c r="B19" s="2"/>
      <c r="C19" s="21"/>
      <c r="D19" s="22"/>
      <c r="E19" s="22"/>
      <c r="F19" s="22"/>
      <c r="G19" s="22"/>
      <c r="H19" s="22"/>
      <c r="I19" s="22"/>
      <c r="J19" s="24"/>
      <c r="K19" s="2"/>
    </row>
    <row r="20" spans="1:15" ht="15.75" thickBot="1">
      <c r="A20" s="17" t="s">
        <v>2</v>
      </c>
      <c r="B20" s="17" t="s">
        <v>59</v>
      </c>
      <c r="C20" s="21"/>
      <c r="D20" s="22"/>
      <c r="E20" s="22"/>
      <c r="F20" s="22"/>
      <c r="G20" s="22"/>
      <c r="H20" s="22"/>
      <c r="I20" s="22"/>
      <c r="J20" s="24"/>
      <c r="K20" s="2"/>
    </row>
    <row r="21" spans="1:15" ht="15.75" thickBot="1">
      <c r="A21" s="2"/>
      <c r="B21" s="2"/>
      <c r="C21" s="21"/>
      <c r="D21" s="22"/>
      <c r="E21" s="22"/>
      <c r="F21" s="22"/>
      <c r="G21" s="22"/>
      <c r="H21" s="22"/>
      <c r="I21" s="22"/>
      <c r="J21" s="24"/>
      <c r="K21" s="2"/>
    </row>
    <row r="22" spans="1:15" ht="15.75" thickBot="1">
      <c r="A22" s="2">
        <v>1</v>
      </c>
      <c r="B22" s="2" t="s">
        <v>60</v>
      </c>
      <c r="C22" s="25">
        <f>C8</f>
        <v>0</v>
      </c>
      <c r="D22" s="22"/>
      <c r="E22" s="22"/>
      <c r="F22" s="22"/>
      <c r="G22" s="22"/>
      <c r="H22" s="22"/>
      <c r="I22" s="22"/>
      <c r="J22" s="24"/>
      <c r="K22" s="2"/>
    </row>
    <row r="23" spans="1:15" ht="15.75" thickBot="1">
      <c r="A23" s="2"/>
      <c r="B23" s="2"/>
      <c r="C23" s="21"/>
      <c r="D23" s="22"/>
      <c r="E23" s="22"/>
      <c r="F23" s="22"/>
      <c r="G23" s="22"/>
      <c r="H23" s="22"/>
      <c r="I23" s="22"/>
      <c r="J23" s="24"/>
      <c r="K23" s="2"/>
    </row>
    <row r="24" spans="1:15" ht="15.75" thickBot="1">
      <c r="A24" s="2">
        <v>2</v>
      </c>
      <c r="B24" s="34" t="s">
        <v>61</v>
      </c>
      <c r="C24" s="21"/>
      <c r="D24" s="22"/>
      <c r="E24" s="22"/>
      <c r="F24" s="22"/>
      <c r="G24" s="22"/>
      <c r="H24" s="22"/>
      <c r="I24" s="22"/>
      <c r="J24" s="24"/>
      <c r="K24" s="2"/>
    </row>
    <row r="25" spans="1:15" ht="15.75" thickBot="1">
      <c r="A25" s="2"/>
      <c r="B25" s="2" t="s">
        <v>137</v>
      </c>
      <c r="C25" s="21"/>
      <c r="D25" s="35">
        <f>Opex!D8+Opex!D9+Opex!D10+Opex!D12+Opex!D15+Opex!D17+Opex!D19</f>
        <v>25214676.271454796</v>
      </c>
      <c r="E25" s="35">
        <v>27063843.190680083</v>
      </c>
      <c r="F25" s="35">
        <v>27063843.190680083</v>
      </c>
      <c r="G25" s="35">
        <v>27063843.190680083</v>
      </c>
      <c r="H25" s="35">
        <v>27063843.190680083</v>
      </c>
      <c r="I25" s="35">
        <v>27063843.190680083</v>
      </c>
      <c r="J25" s="35">
        <v>27063843.190680083</v>
      </c>
      <c r="K25" s="35">
        <v>27063843.190680083</v>
      </c>
      <c r="L25" s="35">
        <v>27063843.190680083</v>
      </c>
      <c r="M25" s="35">
        <v>31043737.654680081</v>
      </c>
    </row>
    <row r="26" spans="1:15" ht="15.75" thickBot="1">
      <c r="A26" s="2"/>
      <c r="B26" s="2" t="s">
        <v>131</v>
      </c>
      <c r="C26" s="21"/>
      <c r="D26" s="35">
        <f>(Opex!D4*0.6)/2</f>
        <v>49140000</v>
      </c>
      <c r="E26" s="35">
        <f>(Opex!D4*0.8)/2</f>
        <v>65520000</v>
      </c>
      <c r="F26" s="35">
        <f>(Opex!D4*0.95)/2</f>
        <v>77805000</v>
      </c>
      <c r="G26" s="35">
        <f>(Opex!D4*0.95)/2</f>
        <v>77805000</v>
      </c>
      <c r="H26" s="35">
        <f>(Opex!D4*0.7)</f>
        <v>114660000</v>
      </c>
      <c r="I26" s="35">
        <f>(Opex!F4*0.8)</f>
        <v>9605232000</v>
      </c>
      <c r="J26" s="35">
        <f>(Opex!D4*0.8)</f>
        <v>131040000</v>
      </c>
      <c r="K26" s="35">
        <f>(Opex!D4*0.8)</f>
        <v>131040000</v>
      </c>
      <c r="L26" s="35">
        <f>(Opex!D4*0.8)</f>
        <v>131040000</v>
      </c>
      <c r="M26" s="35">
        <f>(Opex!D4*0.8)</f>
        <v>131040000</v>
      </c>
    </row>
    <row r="27" spans="1:15" ht="15.75" thickBot="1">
      <c r="A27" s="2"/>
      <c r="B27" s="2" t="s">
        <v>136</v>
      </c>
      <c r="C27" s="21"/>
      <c r="D27" s="35">
        <f>((Opex!D5+Opex!D6)*0.6)/2</f>
        <v>692874</v>
      </c>
      <c r="E27" s="35">
        <f>((Opex!D6+Opex!D5)*0.8)/2</f>
        <v>923832</v>
      </c>
      <c r="F27" s="35">
        <f>((Opex!D6+Opex!D5)*0.95)/2</f>
        <v>1097050.5</v>
      </c>
      <c r="G27" s="35">
        <f>((Opex!D6+Opex!D5)*0.95)/2</f>
        <v>1097050.5</v>
      </c>
      <c r="H27" s="35">
        <f>((Opex!D6+Opex!D5)*0.7)</f>
        <v>1616706</v>
      </c>
      <c r="I27" s="35">
        <f>((Opex!D6+Opex!D5)*0.8)</f>
        <v>1847664</v>
      </c>
      <c r="J27" s="35">
        <f>((Opex!D6+Opex!D5)*0.95)</f>
        <v>2194101</v>
      </c>
      <c r="K27" s="35">
        <f>((Opex!D6+Opex!D5)*0.95)</f>
        <v>2194101</v>
      </c>
      <c r="L27" s="35">
        <f>((Opex!D6+Opex!D5)*0.95)</f>
        <v>2194101</v>
      </c>
      <c r="M27" s="35">
        <f>((Opex!D6+Opex!D5)*0.95)</f>
        <v>2194101</v>
      </c>
    </row>
    <row r="28" spans="1:15" ht="15.75" thickBot="1">
      <c r="A28" s="2"/>
      <c r="B28" s="2" t="s">
        <v>135</v>
      </c>
      <c r="C28" s="21"/>
      <c r="D28" s="35">
        <f>((Opex!$D$7+Opex!$D$11+Opex!$D$18)*0.6)/2</f>
        <v>11713110.83071897</v>
      </c>
      <c r="E28" s="35">
        <f>((Opex!$D$7+Opex!$D$11+Opex!$D$18)*0.8)/2</f>
        <v>15617481.107625294</v>
      </c>
      <c r="F28" s="35">
        <f>((Opex!$D$7+Opex!$D$11+Opex!$D$18)*0.95)/2</f>
        <v>18545758.815305036</v>
      </c>
      <c r="G28" s="35">
        <f>((Opex!$D$7+Opex!$D$11+Opex!$D$18)*0.95)/2</f>
        <v>18545758.815305036</v>
      </c>
      <c r="H28" s="35">
        <f>((Opex!$D$7+Opex!$D$11+Opex!$D$18)*0.7)</f>
        <v>27330591.938344263</v>
      </c>
      <c r="I28" s="35">
        <f>((Opex!$D$7+Opex!$D$11+Opex!$D$18)*0.8)</f>
        <v>31234962.215250589</v>
      </c>
      <c r="J28" s="35">
        <f>((Opex!$D$7+Opex!$D$11+Opex!$D$18)*0.9)</f>
        <v>35139332.492156915</v>
      </c>
      <c r="K28" s="35">
        <f>((Opex!$D$7+Opex!$D$11+Opex!$D$18)*0.95)</f>
        <v>37091517.630610071</v>
      </c>
      <c r="L28" s="35">
        <f>((Opex!$D$7+Opex!$D$11+Opex!$D$18)*0.95)</f>
        <v>37091517.630610071</v>
      </c>
      <c r="M28" s="35">
        <f>((Opex!$D$7+Opex!$D$11+Opex!$D$18)*0.95)</f>
        <v>37091517.630610071</v>
      </c>
    </row>
    <row r="29" spans="1:15" ht="15.75" thickBot="1">
      <c r="A29" s="2"/>
      <c r="B29" s="2" t="s">
        <v>120</v>
      </c>
      <c r="C29" s="21"/>
      <c r="D29" s="26">
        <v>0</v>
      </c>
      <c r="E29" s="26">
        <v>0</v>
      </c>
      <c r="F29" s="26">
        <v>0</v>
      </c>
      <c r="G29" s="26">
        <v>0</v>
      </c>
      <c r="H29" s="26">
        <v>0</v>
      </c>
      <c r="I29" s="26">
        <v>0</v>
      </c>
      <c r="J29" s="26">
        <v>0</v>
      </c>
      <c r="K29" s="2"/>
    </row>
    <row r="30" spans="1:15" ht="15.75" thickBot="1">
      <c r="A30" s="2"/>
      <c r="B30" s="2" t="s">
        <v>62</v>
      </c>
      <c r="C30" s="21"/>
      <c r="D30" s="35">
        <f>SUM(D25:D29)</f>
        <v>86760661.102173761</v>
      </c>
      <c r="E30" s="35">
        <f t="shared" ref="E30:M30" si="3">SUM(E25:E29)</f>
        <v>109125156.29830538</v>
      </c>
      <c r="F30" s="35">
        <f t="shared" si="3"/>
        <v>124511652.50598513</v>
      </c>
      <c r="G30" s="35">
        <f t="shared" si="3"/>
        <v>124511652.50598513</v>
      </c>
      <c r="H30" s="35">
        <f t="shared" si="3"/>
        <v>170671141.12902436</v>
      </c>
      <c r="I30" s="35">
        <f t="shared" si="3"/>
        <v>9665378469.4059296</v>
      </c>
      <c r="J30" s="35">
        <f t="shared" si="3"/>
        <v>195437276.68283701</v>
      </c>
      <c r="K30" s="35">
        <f t="shared" si="3"/>
        <v>197389461.82129017</v>
      </c>
      <c r="L30" s="35">
        <f t="shared" si="3"/>
        <v>197389461.82129017</v>
      </c>
      <c r="M30" s="35">
        <f t="shared" si="3"/>
        <v>201369356.28529015</v>
      </c>
    </row>
    <row r="31" spans="1:15" ht="15.75" thickBot="1">
      <c r="A31" s="2"/>
      <c r="B31" s="2"/>
      <c r="C31" s="21"/>
      <c r="D31" s="22"/>
      <c r="E31" s="22"/>
      <c r="F31" s="22"/>
      <c r="G31" s="22"/>
      <c r="H31" s="22"/>
      <c r="I31" s="22"/>
      <c r="J31" s="24"/>
      <c r="K31" s="2"/>
    </row>
    <row r="32" spans="1:15" ht="15.75" thickBot="1">
      <c r="A32" s="2">
        <v>3</v>
      </c>
      <c r="B32" s="2" t="s">
        <v>63</v>
      </c>
      <c r="C32" s="21"/>
      <c r="D32" s="35">
        <f>D9-D30</f>
        <v>-10404661.102173775</v>
      </c>
      <c r="E32" s="35">
        <f>E9-E30</f>
        <v>-5637156.2983053774</v>
      </c>
      <c r="F32" s="35">
        <f t="shared" ref="F32:O32" si="4">F9-F30</f>
        <v>-23652.505985125899</v>
      </c>
      <c r="G32" s="35">
        <f t="shared" si="4"/>
        <v>1971347.4940148741</v>
      </c>
      <c r="H32" s="35">
        <f t="shared" si="4"/>
        <v>18664858.870975643</v>
      </c>
      <c r="I32" s="35">
        <f t="shared" si="4"/>
        <v>-9446306469.4059296</v>
      </c>
      <c r="J32" s="35">
        <f t="shared" si="4"/>
        <v>33630723.317162961</v>
      </c>
      <c r="K32" s="35">
        <f t="shared" si="4"/>
        <v>44404538.178709805</v>
      </c>
      <c r="L32" s="35">
        <f t="shared" si="4"/>
        <v>44404538.178709805</v>
      </c>
      <c r="M32" s="35">
        <f t="shared" si="4"/>
        <v>40424643.714709818</v>
      </c>
      <c r="N32" s="35">
        <f t="shared" si="4"/>
        <v>0</v>
      </c>
      <c r="O32" s="35">
        <f t="shared" si="4"/>
        <v>0</v>
      </c>
    </row>
    <row r="33" spans="1:11" ht="15.75" thickBot="1">
      <c r="A33" s="2"/>
      <c r="B33" s="2"/>
      <c r="C33" s="21"/>
      <c r="D33" s="22"/>
      <c r="E33" s="22"/>
      <c r="F33" s="22"/>
      <c r="G33" s="22"/>
      <c r="H33" s="22"/>
      <c r="I33" s="22"/>
      <c r="J33" s="24"/>
      <c r="K33" s="2"/>
    </row>
    <row r="34" spans="1:11" ht="15.75" thickBot="1">
      <c r="A34" s="2">
        <v>4</v>
      </c>
      <c r="B34" s="2" t="s">
        <v>64</v>
      </c>
      <c r="C34" s="21"/>
      <c r="D34" s="35">
        <v>3108458.39017735</v>
      </c>
      <c r="E34" s="35">
        <v>3108458.3901773538</v>
      </c>
      <c r="F34" s="35">
        <v>3108458.3901773538</v>
      </c>
      <c r="G34" s="35">
        <v>3108458.39017735</v>
      </c>
      <c r="H34" s="35">
        <v>3108458.3901773538</v>
      </c>
      <c r="I34" s="35">
        <v>3108458.3901773538</v>
      </c>
      <c r="J34" s="35">
        <v>3108458.3901773538</v>
      </c>
      <c r="K34" s="2"/>
    </row>
    <row r="35" spans="1:11" ht="15.75" thickBot="1">
      <c r="A35" s="2"/>
      <c r="B35" s="2"/>
      <c r="C35" s="21"/>
      <c r="D35" s="35"/>
      <c r="E35" s="35"/>
      <c r="F35" s="35"/>
      <c r="G35" s="35"/>
      <c r="H35" s="35"/>
      <c r="I35" s="35"/>
      <c r="J35" s="35"/>
      <c r="K35" s="2"/>
    </row>
    <row r="36" spans="1:11" ht="15.75" thickBot="1">
      <c r="A36" s="2">
        <v>5</v>
      </c>
      <c r="B36" s="2" t="s">
        <v>139</v>
      </c>
      <c r="C36" s="21"/>
      <c r="D36" s="35">
        <f>(D32-D34)*30%</f>
        <v>-4053935.8477053377</v>
      </c>
      <c r="E36" s="35">
        <f t="shared" ref="E36:J36" si="5">(E32-E34)*30%</f>
        <v>-2623684.4065448195</v>
      </c>
      <c r="F36" s="35">
        <f t="shared" si="5"/>
        <v>-939633.26884874387</v>
      </c>
      <c r="G36" s="35">
        <f t="shared" si="5"/>
        <v>-341133.26884874277</v>
      </c>
      <c r="H36" s="35">
        <f t="shared" si="5"/>
        <v>4666920.1442394862</v>
      </c>
      <c r="I36" s="35">
        <f t="shared" si="5"/>
        <v>-2834824478.3388319</v>
      </c>
      <c r="J36" s="35">
        <f t="shared" si="5"/>
        <v>9156679.4780956823</v>
      </c>
      <c r="K36" s="2"/>
    </row>
    <row r="37" spans="1:11" ht="15.75" thickBot="1">
      <c r="A37" s="17" t="s">
        <v>3</v>
      </c>
      <c r="B37" s="17" t="s">
        <v>65</v>
      </c>
      <c r="C37" s="25">
        <f>-C22</f>
        <v>0</v>
      </c>
      <c r="D37" s="35">
        <f>D32-D34-D36</f>
        <v>-9459183.6446457878</v>
      </c>
      <c r="E37" s="35">
        <f t="shared" ref="E37:J37" si="6">E32-E34-E36</f>
        <v>-6121930.2819379121</v>
      </c>
      <c r="F37" s="35">
        <f t="shared" si="6"/>
        <v>-2192477.6273137359</v>
      </c>
      <c r="G37" s="35">
        <f t="shared" si="6"/>
        <v>-795977.6273137331</v>
      </c>
      <c r="H37" s="35">
        <f t="shared" si="6"/>
        <v>10889480.336558804</v>
      </c>
      <c r="I37" s="35">
        <f t="shared" si="6"/>
        <v>-6614590449.4572744</v>
      </c>
      <c r="J37" s="35">
        <f t="shared" si="6"/>
        <v>21365585.448889926</v>
      </c>
      <c r="K37" s="2"/>
    </row>
    <row r="38" spans="1:11" ht="15.75" thickBot="1">
      <c r="A38" s="2"/>
      <c r="B38" s="2" t="s">
        <v>142</v>
      </c>
      <c r="C38" s="22">
        <f>C37</f>
        <v>0</v>
      </c>
      <c r="D38" s="61">
        <f>C38+D37</f>
        <v>-9459183.6446457878</v>
      </c>
      <c r="E38" s="61">
        <f t="shared" ref="E38:J38" si="7">D38+E37</f>
        <v>-15581113.9265837</v>
      </c>
      <c r="F38" s="61">
        <f t="shared" si="7"/>
        <v>-17773591.553897437</v>
      </c>
      <c r="G38" s="61">
        <f t="shared" si="7"/>
        <v>-18569569.18121117</v>
      </c>
      <c r="H38" s="61">
        <f t="shared" si="7"/>
        <v>-7680088.8446523659</v>
      </c>
      <c r="I38" s="61">
        <f t="shared" si="7"/>
        <v>-6622270538.3019266</v>
      </c>
      <c r="J38" s="61">
        <f t="shared" si="7"/>
        <v>-6600904952.8530369</v>
      </c>
      <c r="K38" s="51"/>
    </row>
    <row r="39" spans="1:11" ht="15.75" thickBot="1">
      <c r="A39" s="2"/>
      <c r="B39" s="2"/>
      <c r="C39" s="22"/>
      <c r="D39" s="22"/>
      <c r="E39" s="22"/>
      <c r="F39" s="22"/>
      <c r="G39" s="22"/>
      <c r="H39" s="22"/>
      <c r="I39" s="22"/>
      <c r="J39" s="22"/>
      <c r="K39" s="51"/>
    </row>
    <row r="40" spans="1:11" ht="15.75" thickBot="1">
      <c r="A40" s="2"/>
      <c r="B40" s="2" t="s">
        <v>141</v>
      </c>
      <c r="C40" s="22"/>
      <c r="D40" s="22">
        <f>1/(1+$C$45)</f>
        <v>0.90909090909090906</v>
      </c>
      <c r="E40" s="22">
        <f t="shared" ref="E40:J40" si="8">D40/(1+$C$45)</f>
        <v>0.82644628099173545</v>
      </c>
      <c r="F40" s="22">
        <f t="shared" si="8"/>
        <v>0.75131480090157765</v>
      </c>
      <c r="G40" s="22">
        <f t="shared" si="8"/>
        <v>0.68301345536507052</v>
      </c>
      <c r="H40" s="22">
        <f t="shared" si="8"/>
        <v>0.62092132305915493</v>
      </c>
      <c r="I40" s="22">
        <f t="shared" si="8"/>
        <v>0.56447393005377711</v>
      </c>
      <c r="J40" s="22">
        <f t="shared" si="8"/>
        <v>0.51315811823070645</v>
      </c>
      <c r="K40" s="51"/>
    </row>
    <row r="41" spans="1:11" ht="15.75" thickBot="1">
      <c r="A41" s="2"/>
      <c r="B41" s="2" t="s">
        <v>144</v>
      </c>
      <c r="C41" s="21"/>
      <c r="D41" s="53">
        <f t="shared" ref="D41:J41" si="9">D37*D40</f>
        <v>-8599257.8587688971</v>
      </c>
      <c r="E41" s="53">
        <f t="shared" si="9"/>
        <v>-5059446.5139982738</v>
      </c>
      <c r="F41" s="53">
        <f t="shared" si="9"/>
        <v>-1647240.8920463829</v>
      </c>
      <c r="G41" s="53">
        <f t="shared" si="9"/>
        <v>-543663.42962484318</v>
      </c>
      <c r="H41" s="53">
        <f t="shared" si="9"/>
        <v>6761510.5380027443</v>
      </c>
      <c r="I41" s="53">
        <f t="shared" si="9"/>
        <v>-3733763866.7013278</v>
      </c>
      <c r="J41" s="53">
        <f t="shared" si="9"/>
        <v>10963923.623849718</v>
      </c>
      <c r="K41" s="51"/>
    </row>
    <row r="42" spans="1:11" ht="15.75" thickBot="1">
      <c r="A42" s="2"/>
      <c r="B42" s="66" t="s">
        <v>66</v>
      </c>
      <c r="C42" s="52">
        <f>SUM(D41:J41)+SUM(C37:C37)</f>
        <v>-3731888041.2339134</v>
      </c>
      <c r="D42" s="27"/>
      <c r="E42" s="27"/>
      <c r="F42" s="27"/>
      <c r="G42" s="27"/>
      <c r="H42" s="27"/>
      <c r="I42" s="27"/>
      <c r="J42" s="28"/>
      <c r="K42" s="2"/>
    </row>
    <row r="43" spans="1:11" ht="15.75" thickBot="1">
      <c r="A43" s="2"/>
      <c r="B43" s="63" t="s">
        <v>67</v>
      </c>
      <c r="C43" s="50" t="e">
        <f>IRR(C37:J37,6%)</f>
        <v>#NUM!</v>
      </c>
      <c r="D43" s="27"/>
      <c r="E43" s="27"/>
      <c r="F43" s="27"/>
      <c r="G43" s="27"/>
      <c r="H43" s="27"/>
      <c r="I43" s="27"/>
      <c r="J43" s="28"/>
      <c r="K43" s="2"/>
    </row>
    <row r="44" spans="1:11" ht="15.75" thickBot="1">
      <c r="A44" s="1"/>
      <c r="B44" s="64" t="s">
        <v>143</v>
      </c>
      <c r="C44" s="62">
        <f>3+(-F38/G37)</f>
        <v>-19.329260200289536</v>
      </c>
      <c r="D44" s="55"/>
      <c r="E44" s="55"/>
      <c r="F44" s="55"/>
      <c r="G44" s="55"/>
      <c r="H44" s="55"/>
      <c r="I44" s="55"/>
      <c r="J44" s="56"/>
      <c r="K44" s="1"/>
    </row>
    <row r="45" spans="1:11" ht="15.75" thickBot="1">
      <c r="B45" s="65" t="s">
        <v>125</v>
      </c>
      <c r="C45" s="67">
        <v>0.1</v>
      </c>
    </row>
    <row r="50" spans="3:10">
      <c r="J50" s="47"/>
    </row>
  </sheetData>
  <mergeCells count="2">
    <mergeCell ref="D3:K3"/>
    <mergeCell ref="C2:M2"/>
  </mergeCells>
  <hyperlinks>
    <hyperlink ref="B42" r:id="rId1" xr:uid="{1AE71A79-D5BA-4CA7-845E-4CB4AE685C06}"/>
  </hyperlinks>
  <pageMargins left="0.7" right="0.7" top="0.75" bottom="0.75" header="0.3" footer="0.3"/>
  <pageSetup orientation="portrait"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Cover Page</vt:lpstr>
      <vt:lpstr>Equipment List </vt:lpstr>
      <vt:lpstr>Capex</vt:lpstr>
      <vt:lpstr>Opex Segmental(84 KTPA)</vt:lpstr>
      <vt:lpstr>Opex</vt:lpstr>
      <vt:lpstr>Opex Total(84 KTPA)</vt:lpstr>
      <vt:lpstr>Salary and WagesCost Estimation</vt:lpstr>
      <vt:lpstr>Cash Flow Epoxy Resin</vt:lpstr>
      <vt:lpstr>Cash Flow</vt:lpstr>
      <vt:lpstr>Working sheet</vt:lpstr>
      <vt:lpstr>Liquid Epoxy Resin</vt:lpstr>
      <vt:lpstr>Solid Epoxy Resin</vt:lpstr>
      <vt:lpstr>Semi Solid Epoxy Resin</vt:lpstr>
      <vt:lpstr>Raw Material Prices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Jaideep Kumar</dc:creator>
  <cp:lastModifiedBy>Hardik Malhotra</cp:lastModifiedBy>
  <cp:lastPrinted>2021-10-13T09:48:19Z</cp:lastPrinted>
  <dcterms:created xsi:type="dcterms:W3CDTF">2021-09-28T07:47:51Z</dcterms:created>
  <dcterms:modified xsi:type="dcterms:W3CDTF">2021-12-17T12:42:47Z</dcterms:modified>
</cp:coreProperties>
</file>